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drawings/drawing26.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K:\ID\PRINCIPLE\TM\TMF\Submission Documents\7. Substantial Amendment 5\SA5\CTRG Submission\"/>
    </mc:Choice>
  </mc:AlternateContent>
  <workbookProtection workbookAlgorithmName="SHA-512" workbookHashValue="cvf14zEs8FZEdrrmeQ2bhmjLPUJc88LCnc8B2VSGh87QKKscvlDceuc3JqB8hJZqq2T5BBRPbER4IfU3HQPljQ==" workbookSaltValue="gh0/VAxCrWyw1Ng6t0mFyg==" workbookSpinCount="100000" lockStructure="1"/>
  <bookViews>
    <workbookView xWindow="0" yWindow="0" windowWidth="20490" windowHeight="7620" firstSheet="6" activeTab="18"/>
  </bookViews>
  <sheets>
    <sheet name="Study Information" sheetId="12" r:id="rId1"/>
    <sheet name="Standard of Care" sheetId="28" r:id="rId2"/>
    <sheet name="General Activities" sheetId="2" r:id="rId3"/>
    <sheet name="Per-Participant Activities Arm1" sheetId="22" r:id="rId4"/>
    <sheet name="Per-Participant Activities Arm2" sheetId="31" r:id="rId5"/>
    <sheet name="Per-Participant Activities Arm3" sheetId="32" r:id="rId6"/>
    <sheet name="Per-Participant Activities Arm4" sheetId="33" r:id="rId7"/>
    <sheet name="Per-Participant Activities Arm5" sheetId="34" r:id="rId8"/>
    <sheet name="Per-Participant Activities Arm6" sheetId="44" state="hidden" r:id="rId9"/>
    <sheet name="Per-Participant Activities Arm7" sheetId="45" state="hidden" r:id="rId10"/>
    <sheet name="Per-Participant Activities Arm8" sheetId="46" state="hidden" r:id="rId11"/>
    <sheet name="Per-Participant Activities Arm9" sheetId="47" state="hidden" r:id="rId12"/>
    <sheet name="Per-Participant ActivitiesArm10" sheetId="48" state="hidden" r:id="rId13"/>
    <sheet name="Per-Participant ActivitiesArm11" sheetId="49" state="hidden" r:id="rId14"/>
    <sheet name="Per-Participant ActivitiesArm12" sheetId="50" state="hidden" r:id="rId15"/>
    <sheet name="Per-Participant ActivitiesArm13" sheetId="51" state="hidden" r:id="rId16"/>
    <sheet name="Per-Participant ActivitiesArm14" sheetId="52" state="hidden" r:id="rId17"/>
    <sheet name="Per-Participant ActivitiesArm15" sheetId="53" state="hidden" r:id="rId18"/>
    <sheet name="Summary" sheetId="37" r:id="rId19"/>
    <sheet name="List of Activities" sheetId="16" r:id="rId20"/>
    <sheet name="Non-Tariff Costs" sheetId="35" r:id="rId21"/>
    <sheet name="Tariff (hidden)" sheetId="26" state="hidden" r:id="rId22"/>
    <sheet name="Menu Data (hidden)" sheetId="17" state="hidden" r:id="rId23"/>
    <sheet name="Staff Cost Table (hidden)" sheetId="27" state="hidden" r:id="rId24"/>
    <sheet name="NHS E Payment Template (hidden)" sheetId="39" state="hidden" r:id="rId25"/>
    <sheet name="Change History" sheetId="43" r:id="rId26"/>
  </sheets>
  <definedNames>
    <definedName name="ACTIVITIES_E_AF">'Menu Data (hidden)'!$A$138:$A$142</definedName>
    <definedName name="ACTIVITY_LOOKUP" localSheetId="8">TARIFF_TABLE[#All]</definedName>
    <definedName name="ACTIVITY_LOOKUP" localSheetId="9">TARIFF_TABLE[#All]</definedName>
    <definedName name="ACTIVITY_LOOKUP" localSheetId="10">TARIFF_TABLE[#All]</definedName>
    <definedName name="ACTIVITY_LOOKUP" localSheetId="11">TARIFF_TABLE[#All]</definedName>
    <definedName name="ACTIVITY_LOOKUP" localSheetId="12">TARIFF_TABLE[#All]</definedName>
    <definedName name="ACTIVITY_LOOKUP" localSheetId="13">TARIFF_TABLE[#All]</definedName>
    <definedName name="ACTIVITY_LOOKUP" localSheetId="14">TARIFF_TABLE[#All]</definedName>
    <definedName name="ACTIVITY_LOOKUP" localSheetId="15">TARIFF_TABLE[#All]</definedName>
    <definedName name="ACTIVITY_LOOKUP" localSheetId="16">TARIFF_TABLE[#All]</definedName>
    <definedName name="ACTIVITY_LOOKUP" localSheetId="17">TARIFF_TABLE[#All]</definedName>
    <definedName name="ACTIVITY_LOOKUP">TARIFF_TABLE[#All]</definedName>
    <definedName name="Additional_Inv_Proc_Tariff_List">'Tariff (hidden)'!$A$206:$A$706</definedName>
    <definedName name="Area_of_Activity_for_each_participant">'Menu Data (hidden)'!$A$14:$A$22</definedName>
    <definedName name="Area_of_Activity_study_in_general">'Menu Data (hidden)'!$A$5:$A$10</definedName>
    <definedName name="Arm_1_Calculated_Activity_Cost">tbl_Part_Act[Calculated Activity Cost]</definedName>
    <definedName name="Arm_1_Number_of_Participants">'Per-Participant Activities Arm1'!$B$6</definedName>
    <definedName name="Arm_1_Participant_specific_activities">tbl_Part_Act[Specific Activity                                   
(Drop down only present when Area of Activity selected first - if required activity is not shown - follow guidance above)]</definedName>
    <definedName name="Arm_1_Research_Cost">tbl_Part_Act[Research Cost]</definedName>
    <definedName name="Arm_1_Research_Cost_Part_A">tbl_Part_Act[Research Cost (Part A)]</definedName>
    <definedName name="Arm_1_Research_Cost_Part_B">tbl_Part_Act[Research Cost (Part B)]</definedName>
    <definedName name="Arm_1_Service_Support_Cost">tbl_Part_Act[Service Support Cost]</definedName>
    <definedName name="Arm_1_Treatment_Cost">tbl_Part_Act[Treatment Cost]</definedName>
    <definedName name="Arm_10_calculated_activity_cost">tbl_Part_Act61017[Calculated Activity Cost]</definedName>
    <definedName name="Arm_10_number_of_participants">'Per-Participant ActivitiesArm10'!$B$6</definedName>
    <definedName name="Arm_10_Participant_Specific_Activities">tbl_Part_Act61017[Specific Activity                                  
(Drop down only present when Area of Activity selected first - if required activity is not shown - follow guidance above)]</definedName>
    <definedName name="Arm_10_Research_Cost">tbl_Part_Act61017[Research Cost]</definedName>
    <definedName name="Arm_10_Research_Cost_Part_A">tbl_Part_Act61017[Research Cost (Part A)]</definedName>
    <definedName name="Arm_10_Research_Cost_Part_B">tbl_Part_Act61017[Research Cost (Part B)]</definedName>
    <definedName name="Arm_10_Service_Support_Cost">tbl_Part_Act61017[Service Support Cost]</definedName>
    <definedName name="Arm_10_Treatment_Cost">tbl_Part_Act61017[Treatment Cost]</definedName>
    <definedName name="Arm_11_calculated_activity_cost">tbl_Part_Act61018[Calculated Activity Cost]</definedName>
    <definedName name="Arm_11_number_of_participants">'Per-Participant ActivitiesArm11'!$B$6</definedName>
    <definedName name="Arm_11_Participant_Specific_Activities">tbl_Part_Act61018[Specific Activity                                  
(Drop down only present when Area of Activity selected first - if required activity is not shown - follow guidance above)]</definedName>
    <definedName name="Arm_11_Research_Cost">tbl_Part_Act61018[Research Cost]</definedName>
    <definedName name="Arm_11_Research_Cost_Part_A">tbl_Part_Act61018[Research Cost (Part A)]</definedName>
    <definedName name="Arm_11_Research_Cost_Part_B">tbl_Part_Act61018[Research Cost (Part B)]</definedName>
    <definedName name="Arm_11_Service_Support_Cost">tbl_Part_Act61018[Service Support Cost]</definedName>
    <definedName name="Arm_11_Treatment_Cost">tbl_Part_Act61018[Treatment Cost]</definedName>
    <definedName name="Arm_12_calculated_activity_cost">tbl_Part_Act61019[Calculated Activity Cost]</definedName>
    <definedName name="Arm_12_number_of_participants">'Per-Participant ActivitiesArm12'!$B$6</definedName>
    <definedName name="Arm_12_Participant_Specific_Activities">tbl_Part_Act61019[Specific Activity                                  
(Drop down only present when Area of Activity selected first - if required activity is not shown - follow guidance above)]</definedName>
    <definedName name="Arm_12_Research_Cost">tbl_Part_Act61019[Research Cost]</definedName>
    <definedName name="Arm_12_Research_Cost_Part_A">tbl_Part_Act61019[Research Cost (Part A)]</definedName>
    <definedName name="Arm_12_Research_Cost_Part_B">tbl_Part_Act61019[Research Cost (Part B)]</definedName>
    <definedName name="Arm_12_Service_Support_Cost">tbl_Part_Act61019[Service Support Cost]</definedName>
    <definedName name="Arm_12_Treatment_Cost">tbl_Part_Act61019[Treatment Cost]</definedName>
    <definedName name="Arm_13_calculated_activity_cost">tbl_Part_Act61020[Calculated Activity Cost]</definedName>
    <definedName name="Arm_13_number_of_participants">'Per-Participant ActivitiesArm13'!$B$6</definedName>
    <definedName name="Arm_13_Participant_Specific_Activities">tbl_Part_Act61020[Specific Activity                                  
(Drop down only present when Area of Activity selected first - if required activity is not shown - follow guidance above)]</definedName>
    <definedName name="Arm_13_Research_Cost">tbl_Part_Act61020[Research Cost]</definedName>
    <definedName name="Arm_13_Research_Cost_Part_A">tbl_Part_Act61020[Research Cost (Part A)]</definedName>
    <definedName name="Arm_13_Research_Cost_Part_B">tbl_Part_Act61020[Research Cost (Part B)]</definedName>
    <definedName name="Arm_13_Service_Support_Cost">tbl_Part_Act61020[Service Support Cost]</definedName>
    <definedName name="Arm_13_Treatment_Cost">tbl_Part_Act61020[Treatment Cost]</definedName>
    <definedName name="Arm_14_calculated_activity_cost">tbl_Part_Act61021[Calculated Activity Cost]</definedName>
    <definedName name="Arm_14_number_of_participants">'Per-Participant ActivitiesArm14'!$B$6</definedName>
    <definedName name="Arm_14_Participant_Specific_Activities">tbl_Part_Act61021[Specific Activity                                  
(Drop down only present when Area of Activity selected first - if required activity is not shown - follow guidance above)]</definedName>
    <definedName name="Arm_14_Research_Cost">tbl_Part_Act61021[Research Cost]</definedName>
    <definedName name="Arm_14_Research_Cost_Part_A">tbl_Part_Act61021[Research Cost (Part A)]</definedName>
    <definedName name="Arm_14_Research_Cost_Part_B">tbl_Part_Act61021[Research Cost (Part B)]</definedName>
    <definedName name="Arm_14_Service_Support_Cost">tbl_Part_Act61021[Service Support Cost]</definedName>
    <definedName name="Arm_14_Treatment_Cost">tbl_Part_Act61021[Treatment Cost]</definedName>
    <definedName name="Arm_15_calculated_activity_cost">tbl_Part_Act61022[Calculated Activity Cost]</definedName>
    <definedName name="Arm_15_number_of_participants">'Per-Participant ActivitiesArm15'!$B$6</definedName>
    <definedName name="Arm_15_Participant_Specific_Activities">tbl_Part_Act61022[Specific Activity                                  
(Drop down only present when Area of Activity selected first - if required activity is not shown - follow guidance above)]</definedName>
    <definedName name="Arm_15_Research_Cost">tbl_Part_Act61022[Research Cost]</definedName>
    <definedName name="Arm_15_Research_Cost_Part_A">tbl_Part_Act61022[Research Cost (Part A)]</definedName>
    <definedName name="Arm_15_Research_Cost_Part_B">tbl_Part_Act61022[Research Cost (Part B)]</definedName>
    <definedName name="Arm_15_Service_Support_Cost">tbl_Part_Act61022[Service Support Cost]</definedName>
    <definedName name="Arm_15_Treatment_Cost">tbl_Part_Act61022[Treatment Cost]</definedName>
    <definedName name="Arm_2_Calculated_Activity_Cost">tbl_Part_Act6[Calculated Activity Cost]</definedName>
    <definedName name="Arm_2_Number_of_Participants">'Per-Participant Activities Arm2'!$B$6</definedName>
    <definedName name="Arm_2_Participant_specific_activities">tbl_Part_Act6[Specific Activity                                    
(Drop down only present when Area of Activity selected first - if required activity is not shown - follow guidance above)]</definedName>
    <definedName name="Arm_2_Research_Cost">tbl_Part_Act6[Research Cost]</definedName>
    <definedName name="Arm_2_Research_Cost_Part_A">tbl_Part_Act6[Research Cost (Part A)]</definedName>
    <definedName name="Arm_2_Research_Cost_Part_B">tbl_Part_Act6[Research Cost (Part B)]</definedName>
    <definedName name="Arm_2_Service_Support_Cost">tbl_Part_Act6[Service Support Cost]</definedName>
    <definedName name="Arm_2_Treatment_Cost">tbl_Part_Act6[Treatment Cost]</definedName>
    <definedName name="Arm_3_Calculated_Activity_Cost">tbl_Part_Act68[Calculated Activity Cost]</definedName>
    <definedName name="Arm_3_Number_of_Participants">'Per-Participant Activities Arm3'!$B$5</definedName>
    <definedName name="Arm_3_Participant_specific_activities">tbl_Part_Act68[Specific Activity                                   
(Drop down only present when Area of Activity selected first - if required activity is not shown - follow guidance above)]</definedName>
    <definedName name="Arm_3_Research_Cost">tbl_Part_Act68[Research Cost]</definedName>
    <definedName name="Arm_3_Research_Cost_Part_A">tbl_Part_Act68[Research Cost (Part A)]</definedName>
    <definedName name="Arm_3_Research_Cost_Part_B">tbl_Part_Act68[Research Cost (Part B)]</definedName>
    <definedName name="Arm_3_Service_Support_Cost">tbl_Part_Act68[Service Support Cost]</definedName>
    <definedName name="Arm_3_Treatment_Cost">tbl_Part_Act68[Treatment Cost]</definedName>
    <definedName name="Arm_4_Calculated_Activity_Cost">tbl_Part_Act69[Calculated Activity Cost]</definedName>
    <definedName name="Arm_4_Number_of_Participants">'Per-Participant Activities Arm4'!$B$6</definedName>
    <definedName name="Arm_4_Participant_specific_activities">tbl_Part_Act69[Specific Activity                                  
(Drop down only present when Area of Activity selected first - if required activity is not shown - follow guidance above)]</definedName>
    <definedName name="Arm_4_Research_Cost">tbl_Part_Act69[Research Cost]</definedName>
    <definedName name="Arm_4_Research_Cost_Part_A">tbl_Part_Act69[Research Cost (Part A)]</definedName>
    <definedName name="Arm_4_Research_Cost_Part_B">tbl_Part_Act69[Research Cost (Part B)]</definedName>
    <definedName name="Arm_4_Service_Support_Cost">tbl_Part_Act69[Service Support Cost]</definedName>
    <definedName name="Arm_4_Treatment_Cost">tbl_Part_Act69[Treatment Cost]</definedName>
    <definedName name="Arm_5_Calculated_Activity_Cost">tbl_Part_Act610[Calculated Activity Cost]</definedName>
    <definedName name="Arm_5_Number_of_Participants">'Per-Participant Activities Arm5'!$B$6</definedName>
    <definedName name="Arm_5_Participant_specific_activities">tbl_Part_Act610[Specific Activity                                  
(Drop down only present when Area of Activity selected first - if required activity is not shown - follow guidance above)]</definedName>
    <definedName name="Arm_5_Research_Cost">tbl_Part_Act610[Research Cost]</definedName>
    <definedName name="Arm_5_Research_Cost_Part_A">tbl_Part_Act610[Research Cost (Part A)]</definedName>
    <definedName name="Arm_5_Research_Cost_Part_B">tbl_Part_Act610[Research Cost (Part B)]</definedName>
    <definedName name="Arm_5_Service_Support_Cost">tbl_Part_Act610[Service Support Cost]</definedName>
    <definedName name="Arm_5_Treatment_Cost">tbl_Part_Act610[Treatment Cost]</definedName>
    <definedName name="Arm_6_calculated_activity_cost">tbl_Part_Act61013[Calculated Activity Cost]</definedName>
    <definedName name="Arm_6_number_of_participants">'Per-Participant Activities Arm6'!$B$6</definedName>
    <definedName name="Arm_6_Participant_Specific_Activities">tbl_Part_Act61013[Specific Activity                                  
(Drop down only present when Area of Activity selected first - if required activity is not shown - follow guidance above)]</definedName>
    <definedName name="Arm_6_Research_Cost">tbl_Part_Act61013[Research Cost]</definedName>
    <definedName name="Arm_6_Research_Cost_Part_A">tbl_Part_Act61013[Research Cost (Part A)]</definedName>
    <definedName name="Arm_6_Research_Cost_Part_B">tbl_Part_Act61013[Research Cost (Part B)]</definedName>
    <definedName name="Arm_6_Service_Support_Cost">'Per-Participant Activities Arm6'!$AM$9:$AM$109</definedName>
    <definedName name="Arm_6_Treatment_Cost">tbl_Part_Act61013[Treatment Cost]</definedName>
    <definedName name="Arm_7_calculated_activity_cost">tbl_Part_Act61014[Calculated Activity Cost]</definedName>
    <definedName name="Arm_7_number_of_participants">'Per-Participant Activities Arm7'!$B$6</definedName>
    <definedName name="Arm_7_Participant_Specific_Activities">tbl_Part_Act61014[Specific Activity                                  
(Drop down only present when Area of Activity selected first - if required activity is not shown - follow guidance above)]</definedName>
    <definedName name="Arm_7_Research_Cost">tbl_Part_Act61014[Research Cost]</definedName>
    <definedName name="Arm_7_Research_Cost_Part_A">tbl_Part_Act61014[Research Cost (Part A)]</definedName>
    <definedName name="Arm_7_Research_Cost_Part_B">tbl_Part_Act61014[Research Cost (Part B)]</definedName>
    <definedName name="Arm_7_Service_Support_Cost">tbl_Part_Act61014[Service Support Cost]</definedName>
    <definedName name="Arm_7_Treatment_Cost">tbl_Part_Act61014[Treatment Cost]</definedName>
    <definedName name="Arm_8_calculated_activity_cost">tbl_Part_Act61015[Calculated Activity Cost]</definedName>
    <definedName name="Arm_8_number_of_participants">'Per-Participant Activities Arm8'!$B$6</definedName>
    <definedName name="Arm_8_Participant_Specific_Activities">tbl_Part_Act61015[Specific Activity                                  
(Drop down only present when Area of Activity selected first - if required activity is not shown - follow guidance above)]</definedName>
    <definedName name="Arm_8_Research_Cost">tbl_Part_Act61015[Research Cost]</definedName>
    <definedName name="Arm_8_Research_Cost_Part_A">tbl_Part_Act61015[Research Cost (Part A)]</definedName>
    <definedName name="Arm_8_Research_Cost_Part_B">tbl_Part_Act61015[Research Cost (Part B)]</definedName>
    <definedName name="Arm_8_Service_Support_Cost">tbl_Part_Act61015[Service Support Cost]</definedName>
    <definedName name="Arm_8_Treatment_Cost">tbl_Part_Act61015[Treatment Cost]</definedName>
    <definedName name="Arm_9_calculated_activity_cost">tbl_Part_Act61016[Calculated Activity Cost]</definedName>
    <definedName name="Arm_9_number_of_participants">'Per-Participant Activities Arm9'!$B$6</definedName>
    <definedName name="Arm_9_Participant_Specific_Activities">tbl_Part_Act61016[Specific Activity                                  
(Drop down only present when Area of Activity selected first - if required activity is not shown - follow guidance above)]</definedName>
    <definedName name="Arm_9_Research_Cost">tbl_Part_Act61016[Research Cost]</definedName>
    <definedName name="Arm_9_Research_Cost_Part_A">tbl_Part_Act61016[Research Cost (Part A)]</definedName>
    <definedName name="Arm_9_Research_Cost_Part_B">tbl_Part_Act61016[Research Cost (Part B)]</definedName>
    <definedName name="Arm_9_Service_Support_Cost">tbl_Part_Act61016[Service Support Cost]</definedName>
    <definedName name="Arm_9_Treatment_Cost">tbl_Part_Act61016[Treatment Cost]</definedName>
    <definedName name="Average_per_patientETC">Summary!$S$13</definedName>
    <definedName name="Chief_Investigator_Name">'Study Information'!$B$17</definedName>
    <definedName name="Duration">'Study Information'!$B$23</definedName>
    <definedName name="Funder_Name">'Study Information'!$B$13</definedName>
    <definedName name="Gen_Act_Calculated_Activity_Cost">tbl_Gen_Act[Calculated Activity Cost]</definedName>
    <definedName name="Gen_Act_Research_Cost">tbl_Gen_Act[Research Cost]</definedName>
    <definedName name="Gen_Act_Research_Cost_Part_A">tbl_Gen_Act[Research Cost (Part A)]</definedName>
    <definedName name="Gen_Act_Research_Cost_Part_B">tbl_Gen_Act[Research Cost (Part B)]</definedName>
    <definedName name="Gen_Act_Service_Support_Cost">tbl_Gen_Act[Service Support Cost]</definedName>
    <definedName name="Gen_Act_Specific_Activity">tbl_Gen_Act[Specific Activity                                    
(Drop down only present when Area of Activity selected first – if required option is not available please follow guidance in Non-tariff Costs tab)]</definedName>
    <definedName name="Gen_Act_Treatment_Cost">tbl_Gen_Act[Treatment Cost]</definedName>
    <definedName name="General_Activities_per_participant_cost">Summary!$C$34</definedName>
    <definedName name="General_Activities_Total__across_projected_number_of_sites">Summary!$C$33</definedName>
    <definedName name="Inc_Std_Care">'Menu Data (hidden)'!$M$5</definedName>
    <definedName name="Interventions_clinical">'Menu Data (hidden)'!$G$14:$G$29</definedName>
    <definedName name="Interventions_non_clinical">'Menu Data (hidden)'!$H$14:$H$17</definedName>
    <definedName name="IRAS_REF">'Study Information'!$B$7</definedName>
    <definedName name="Laboratory_Tests_and_Investigations">'Menu Data (hidden)'!$C$14:$C$126</definedName>
    <definedName name="LCRN">'Menu Data (hidden)'!$A$175:$A$192</definedName>
    <definedName name="Lead_Local_Clinical_Research_Network">'Study Information'!$B$28</definedName>
    <definedName name="Main_Commissioner">'Menu Data (hidden)'!$A$48:$A$51</definedName>
    <definedName name="Medical_Exposure_or_Imaging_Tests_and_Investigations">'Menu Data (hidden)'!$D$14:$D$33</definedName>
    <definedName name="Menu_Data_General_Areas_of_Activity">'Menu Data (hidden)'!$A$25:$A$32</definedName>
    <definedName name="Menu_Data_General_Consent_Procedures">'Menu Data (hidden)'!$B$26:$B$33</definedName>
    <definedName name="Menu_Data_No_Part_B_Research_Costs_not_applicable">'Menu Data (hidden)'!$C$150:$C$152</definedName>
    <definedName name="Menu_Data_Participant_Identification">'Menu Data (hidden)'!$B$5:$B$8</definedName>
    <definedName name="NHS_Excess_Treatment_Cost___Cost_saving">Summary!$C$50</definedName>
    <definedName name="No">'Menu Data (hidden)'!$C$150:$C$152</definedName>
    <definedName name="No_Part_B_Research_Costs_not_applicable">'Menu Data (hidden)'!$C$150:$C$152</definedName>
    <definedName name="Non_Tariff_Cost">TBL_Manually_added_tariffs[Activity]</definedName>
    <definedName name="Number_of_Study_Arms">'Study Information'!$B$15</definedName>
    <definedName name="Other_Procedures_or_Activities">'Menu Data (hidden)'!$I$14:$I$28</definedName>
    <definedName name="Other_Tests_and_Investigations">'Menu Data (hidden)'!$F$14:$F$21</definedName>
    <definedName name="Part_B_Question">'Menu Data (hidden)'!$A$150:$A$151</definedName>
    <definedName name="Participant_Consent_Procedures">'Menu Data (hidden)'!$B$14:$B$15</definedName>
    <definedName name="Participant_Identification">'Menu Data (hidden)'!$B$5:$B$7</definedName>
    <definedName name="Per_Patient_Cost_mean">Summary!$S$13</definedName>
    <definedName name="Pharmacy">'Menu Data (hidden)'!$E$14:$E$22</definedName>
    <definedName name="Pharmacy_General">'Menu Data (hidden)'!$D$5:$D$8</definedName>
    <definedName name="Planned_End_Date">'Study Information'!$B$21</definedName>
    <definedName name="Planned_Start_Date">'Study Information'!$B$19</definedName>
    <definedName name="_xlnm.Print_Area" localSheetId="25">'Change History'!$A$1:$B$11</definedName>
    <definedName name="_xlnm.Print_Area" localSheetId="2">'General Activities'!$A$1:$O$110</definedName>
    <definedName name="_xlnm.Print_Area" localSheetId="19">'List of Activities'!$A$1:$C$211</definedName>
    <definedName name="_xlnm.Print_Area" localSheetId="24">'NHS E Payment Template (hidden)'!$A$1:$I$107</definedName>
    <definedName name="_xlnm.Print_Area" localSheetId="3">'Per-Participant Activities Arm1'!$A$1:$AO$110</definedName>
    <definedName name="_xlnm.Print_Area" localSheetId="4">'Per-Participant Activities Arm2'!$A$1:$AO$110</definedName>
    <definedName name="_xlnm.Print_Area" localSheetId="5">'Per-Participant Activities Arm3'!$A$1:$AO$110</definedName>
    <definedName name="_xlnm.Print_Area" localSheetId="6">'Per-Participant Activities Arm4'!$A$1:$AO$110</definedName>
    <definedName name="_xlnm.Print_Area" localSheetId="7">'Per-Participant Activities Arm5'!$A$1:$AO$110</definedName>
    <definedName name="_xlnm.Print_Area" localSheetId="1">'Standard of Care'!$A$1:$AJ$114</definedName>
    <definedName name="_xlnm.Print_Area" localSheetId="0">'Study Information'!$A$1:$D$42</definedName>
    <definedName name="_xlnm.Print_Area" localSheetId="18">Summary!$B$1:$S$53</definedName>
    <definedName name="_xlnm.Print_Titles" localSheetId="2">'General Activities'!$A:$D,'General Activities'!$1:$11</definedName>
    <definedName name="_xlnm.Print_Titles" localSheetId="19">'List of Activities'!$6:$7</definedName>
    <definedName name="_xlnm.Print_Titles" localSheetId="3">'Per-Participant Activities Arm1'!$A:$D,'Per-Participant Activities Arm1'!$1:$9</definedName>
    <definedName name="_xlnm.Print_Titles" localSheetId="4">'Per-Participant Activities Arm2'!$A:$D,'Per-Participant Activities Arm2'!$1:$9</definedName>
    <definedName name="_xlnm.Print_Titles" localSheetId="5">'Per-Participant Activities Arm3'!$A:$D,'Per-Participant Activities Arm3'!$1:$8</definedName>
    <definedName name="_xlnm.Print_Titles" localSheetId="6">'Per-Participant Activities Arm4'!$A:$D,'Per-Participant Activities Arm4'!$1:$9</definedName>
    <definedName name="_xlnm.Print_Titles" localSheetId="7">'Per-Participant Activities Arm5'!$A:$D,'Per-Participant Activities Arm5'!$1:$9</definedName>
    <definedName name="_xlnm.Print_Titles" localSheetId="1">'Standard of Care'!$A:$D,'Standard of Care'!$1:$15</definedName>
    <definedName name="Projected_Number_of_sites">'Study Information'!$B$25</definedName>
    <definedName name="Question_12">'Menu Data (hidden)'!$A$42:$A$44</definedName>
    <definedName name="SHORT_TITLE">'Study Information'!$B$9</definedName>
    <definedName name="Site_Type">'Menu Data (hidden)'!$A$130:$A$135</definedName>
    <definedName name="SOC_Activity_Look_Up" localSheetId="1">tbl_Part_Act5[Activity Look Up - Procedure or Investigation (Hidden column)]</definedName>
    <definedName name="SOC_Calculated_Activity_Cost">tbl_Part_Act5[Calculated Activity Cost]</definedName>
    <definedName name="SOC_Specific_Activities" localSheetId="1">tbl_Part_Act5[Specific Activity                                
(Drop down only present when Area of Activity selected first – if required option is not available please follow guidance in Non-tariff Costs tab)]</definedName>
    <definedName name="SOC_Total_cost_per_Activity">tbl_Part_Act5[Total cost per Activity]</definedName>
    <definedName name="Standard_of_care_cost">'Standard of Care'!$B$12</definedName>
    <definedName name="Study_Close_Down">'Menu Data (hidden)'!$F$5:$F$5</definedName>
    <definedName name="Study_Info_Duration_month">'Study Information'!$B$23</definedName>
    <definedName name="Study_Monitoring">'Menu Data (hidden)'!$E$5:$E$8</definedName>
    <definedName name="Study_Set_Up">'Menu Data (hidden)'!$C$5:$C$6</definedName>
    <definedName name="Study_tab_SoECAT_completion">'Menu Data (hidden)'!$A$199:$A$200</definedName>
    <definedName name="Sum_Difference">Summary!$C$40</definedName>
    <definedName name="Sum_total_all_participants">Summary!$C$18</definedName>
    <definedName name="Tariff_Activity">TARIFF_TABLE[Activity]</definedName>
    <definedName name="Tariff_Activity_Type">TARIFF_TABLE[Activity Type]</definedName>
    <definedName name="TARIFF_LOOKUP_TABLE">TARIFF_TABLE[#All]</definedName>
    <definedName name="total_cost_per_activity">tbl_Part_Act5[Total cost per Activity]</definedName>
    <definedName name="Total_Number_of_Participants_all_arm">Summary!$C$18</definedName>
    <definedName name="UNDERTAKEN_BY">Staff_Costs[Role]</definedName>
    <definedName name="Yes">'Menu Data (hidden)'!$B$150:$B$153</definedName>
    <definedName name="Yes_Part_B_Research_Costs_applicable">'Menu Data (hidden)'!$B$150:$B$153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17" i="28" l="1"/>
  <c r="AO18" i="28"/>
  <c r="AO19" i="28"/>
  <c r="AO20" i="28"/>
  <c r="AO21" i="28"/>
  <c r="AO22" i="28"/>
  <c r="AO23" i="28"/>
  <c r="AO24" i="28"/>
  <c r="AO25" i="28"/>
  <c r="AO26" i="28"/>
  <c r="AO27" i="28"/>
  <c r="AO28" i="28"/>
  <c r="AO29" i="28"/>
  <c r="AO30" i="28"/>
  <c r="AO31" i="28"/>
  <c r="AO32" i="28"/>
  <c r="AO33" i="28"/>
  <c r="AO34" i="28"/>
  <c r="AO35" i="28"/>
  <c r="AO36" i="28"/>
  <c r="AO37" i="28"/>
  <c r="AO38" i="28"/>
  <c r="AO39" i="28"/>
  <c r="AO40" i="28"/>
  <c r="AO41" i="28"/>
  <c r="AO42" i="28"/>
  <c r="AO43" i="28"/>
  <c r="AO44" i="28"/>
  <c r="AO45" i="28"/>
  <c r="AO46" i="28"/>
  <c r="AO47" i="28"/>
  <c r="AO48" i="28"/>
  <c r="AO49" i="28"/>
  <c r="AO50" i="28"/>
  <c r="AO51" i="28"/>
  <c r="AO52" i="28"/>
  <c r="AO53" i="28"/>
  <c r="AO54" i="28"/>
  <c r="AO55" i="28"/>
  <c r="AO56" i="28"/>
  <c r="AO57" i="28"/>
  <c r="AO58" i="28"/>
  <c r="AO59" i="28"/>
  <c r="AO60" i="28"/>
  <c r="AO61" i="28"/>
  <c r="AO62" i="28"/>
  <c r="AO63" i="28"/>
  <c r="AO64" i="28"/>
  <c r="AO65" i="28"/>
  <c r="AO66" i="28"/>
  <c r="AO67" i="28"/>
  <c r="AO68" i="28"/>
  <c r="AO69" i="28"/>
  <c r="AO70" i="28"/>
  <c r="AO71" i="28"/>
  <c r="AO72" i="28"/>
  <c r="AO73" i="28"/>
  <c r="AO74" i="28"/>
  <c r="AO75" i="28"/>
  <c r="AO76" i="28"/>
  <c r="AO77" i="28"/>
  <c r="AO78" i="28"/>
  <c r="AO79" i="28"/>
  <c r="AO80" i="28"/>
  <c r="AO81" i="28"/>
  <c r="AO82" i="28"/>
  <c r="AO83" i="28"/>
  <c r="AO84" i="28"/>
  <c r="AO85" i="28"/>
  <c r="AO86" i="28"/>
  <c r="AO87" i="28"/>
  <c r="AO88" i="28"/>
  <c r="AO89" i="28"/>
  <c r="AO90" i="28"/>
  <c r="AO91" i="28"/>
  <c r="AO92" i="28"/>
  <c r="AO93" i="28"/>
  <c r="AO94" i="28"/>
  <c r="AO95" i="28"/>
  <c r="AO96" i="28"/>
  <c r="AO97" i="28"/>
  <c r="AO98" i="28"/>
  <c r="AO99" i="28"/>
  <c r="AO100" i="28"/>
  <c r="AO101" i="28"/>
  <c r="AO102" i="28"/>
  <c r="AO103" i="28"/>
  <c r="AO104" i="28"/>
  <c r="AO105" i="28"/>
  <c r="AO106" i="28"/>
  <c r="AO107" i="28"/>
  <c r="AO108" i="28"/>
  <c r="AO109" i="28"/>
  <c r="AO110" i="28"/>
  <c r="AO111" i="28"/>
  <c r="AO112" i="28"/>
  <c r="AO113" i="28"/>
  <c r="AO114" i="28"/>
  <c r="D15" i="12" l="1"/>
  <c r="B23" i="12" l="1"/>
  <c r="R18" i="37" l="1"/>
  <c r="Q18" i="37"/>
  <c r="P18" i="37"/>
  <c r="O18" i="37"/>
  <c r="N18" i="37"/>
  <c r="M18" i="37"/>
  <c r="L18" i="37" l="1"/>
  <c r="K18" i="37"/>
  <c r="J18" i="37"/>
  <c r="I18" i="37"/>
  <c r="Q13" i="37"/>
  <c r="Q24" i="37" s="1"/>
  <c r="P13" i="37"/>
  <c r="P24" i="37" s="1"/>
  <c r="N13" i="37"/>
  <c r="N24" i="37" s="1"/>
  <c r="M13" i="37"/>
  <c r="M24" i="37" s="1"/>
  <c r="L13" i="37"/>
  <c r="L24" i="37" s="1"/>
  <c r="K13" i="37"/>
  <c r="K24" i="37" s="1"/>
  <c r="AO110" i="53"/>
  <c r="AO109" i="53"/>
  <c r="AO108" i="53"/>
  <c r="AO107" i="53"/>
  <c r="AO106" i="53"/>
  <c r="AO105" i="53"/>
  <c r="AO104" i="53"/>
  <c r="AO103" i="53"/>
  <c r="AO102" i="53"/>
  <c r="AO101" i="53"/>
  <c r="AO100" i="53"/>
  <c r="AO99" i="53"/>
  <c r="AO98" i="53"/>
  <c r="AO97" i="53"/>
  <c r="AO96" i="53"/>
  <c r="AO95" i="53"/>
  <c r="AO94" i="53"/>
  <c r="AO93" i="53"/>
  <c r="AO92" i="53"/>
  <c r="AO91" i="53"/>
  <c r="AO90" i="53"/>
  <c r="AO89" i="53"/>
  <c r="AO88" i="53"/>
  <c r="AO87" i="53"/>
  <c r="AO86" i="53"/>
  <c r="AO85" i="53"/>
  <c r="AO84" i="53"/>
  <c r="AO83" i="53"/>
  <c r="AO82" i="53"/>
  <c r="AO81" i="53"/>
  <c r="AO80" i="53"/>
  <c r="AO79" i="53"/>
  <c r="AO78" i="53"/>
  <c r="AO77" i="53"/>
  <c r="AO76" i="53"/>
  <c r="AO75" i="53"/>
  <c r="AO74" i="53"/>
  <c r="AO73" i="53"/>
  <c r="AO72" i="53"/>
  <c r="AO71" i="53"/>
  <c r="AO70" i="53"/>
  <c r="AO69" i="53"/>
  <c r="AO68" i="53"/>
  <c r="AO67" i="53"/>
  <c r="AO66" i="53"/>
  <c r="AO65" i="53"/>
  <c r="B4" i="53"/>
  <c r="AW3" i="53"/>
  <c r="F6" i="53" s="1"/>
  <c r="AO110" i="52"/>
  <c r="AO109" i="52"/>
  <c r="AO108" i="52"/>
  <c r="AO107" i="52"/>
  <c r="AO106" i="52"/>
  <c r="AO105" i="52"/>
  <c r="AO104" i="52"/>
  <c r="AO103" i="52"/>
  <c r="AO102" i="52"/>
  <c r="AO101" i="52"/>
  <c r="AO100" i="52"/>
  <c r="AO99" i="52"/>
  <c r="AO98" i="52"/>
  <c r="AO97" i="52"/>
  <c r="AO96" i="52"/>
  <c r="AO95" i="52"/>
  <c r="AO94" i="52"/>
  <c r="AO93" i="52"/>
  <c r="AO92" i="52"/>
  <c r="AO91" i="52"/>
  <c r="AO90" i="52"/>
  <c r="AO89" i="52"/>
  <c r="AO88" i="52"/>
  <c r="AO87" i="52"/>
  <c r="AO86" i="52"/>
  <c r="AO85" i="52"/>
  <c r="AO84" i="52"/>
  <c r="AO83" i="52"/>
  <c r="AO82" i="52"/>
  <c r="AO81" i="52"/>
  <c r="AO80" i="52"/>
  <c r="AO79" i="52"/>
  <c r="AO78" i="52"/>
  <c r="AO77" i="52"/>
  <c r="AO76" i="52"/>
  <c r="AO75" i="52"/>
  <c r="AO74" i="52"/>
  <c r="AO73" i="52"/>
  <c r="AO72" i="52"/>
  <c r="AO71" i="52"/>
  <c r="AO70" i="52"/>
  <c r="AO69" i="52"/>
  <c r="AO68" i="52"/>
  <c r="AO67" i="52"/>
  <c r="AO66" i="52"/>
  <c r="AO65" i="52"/>
  <c r="B4" i="52"/>
  <c r="AW3" i="52"/>
  <c r="F6" i="52" s="1"/>
  <c r="AO110" i="51"/>
  <c r="AO109" i="51"/>
  <c r="AO108" i="51"/>
  <c r="AO107" i="51"/>
  <c r="AO106" i="51"/>
  <c r="AO105" i="51"/>
  <c r="AO104" i="51"/>
  <c r="AO103" i="51"/>
  <c r="AO102" i="51"/>
  <c r="AO101" i="51"/>
  <c r="AO100" i="51"/>
  <c r="AO99" i="51"/>
  <c r="AO98" i="51"/>
  <c r="AO97" i="51"/>
  <c r="AO96" i="51"/>
  <c r="AO95" i="51"/>
  <c r="AO94" i="51"/>
  <c r="AO93" i="51"/>
  <c r="AO92" i="51"/>
  <c r="AO91" i="51"/>
  <c r="AO90" i="51"/>
  <c r="AO89" i="51"/>
  <c r="AO88" i="51"/>
  <c r="AO87" i="51"/>
  <c r="AO86" i="51"/>
  <c r="AO85" i="51"/>
  <c r="AO84" i="51"/>
  <c r="AO83" i="51"/>
  <c r="AO82" i="51"/>
  <c r="AO81" i="51"/>
  <c r="AO80" i="51"/>
  <c r="AO79" i="51"/>
  <c r="AO78" i="51"/>
  <c r="AO77" i="51"/>
  <c r="AO76" i="51"/>
  <c r="AO75" i="51"/>
  <c r="AO74" i="51"/>
  <c r="AO73" i="51"/>
  <c r="AO72" i="51"/>
  <c r="AO71" i="51"/>
  <c r="AO70" i="51"/>
  <c r="AO69" i="51"/>
  <c r="AO68" i="51"/>
  <c r="AO67" i="51"/>
  <c r="AO66" i="51"/>
  <c r="AO65" i="51"/>
  <c r="B4" i="51"/>
  <c r="AW3" i="51"/>
  <c r="F6" i="51" s="1"/>
  <c r="AO110" i="50"/>
  <c r="AO109" i="50"/>
  <c r="AO108" i="50"/>
  <c r="AO107" i="50"/>
  <c r="AO106" i="50"/>
  <c r="AO105" i="50"/>
  <c r="AO104" i="50"/>
  <c r="AO103" i="50"/>
  <c r="AO102" i="50"/>
  <c r="AO101" i="50"/>
  <c r="AO100" i="50"/>
  <c r="AO99" i="50"/>
  <c r="AO98" i="50"/>
  <c r="AO97" i="50"/>
  <c r="AO96" i="50"/>
  <c r="AO95" i="50"/>
  <c r="AO94" i="50"/>
  <c r="AO93" i="50"/>
  <c r="AO92" i="50"/>
  <c r="AO91" i="50"/>
  <c r="AO90" i="50"/>
  <c r="AO89" i="50"/>
  <c r="AO88" i="50"/>
  <c r="AO87" i="50"/>
  <c r="AO86" i="50"/>
  <c r="AO85" i="50"/>
  <c r="AO84" i="50"/>
  <c r="AO83" i="50"/>
  <c r="AO82" i="50"/>
  <c r="AO81" i="50"/>
  <c r="AO80" i="50"/>
  <c r="AO79" i="50"/>
  <c r="AO78" i="50"/>
  <c r="AO77" i="50"/>
  <c r="AO76" i="50"/>
  <c r="AO75" i="50"/>
  <c r="AO74" i="50"/>
  <c r="AO73" i="50"/>
  <c r="AO72" i="50"/>
  <c r="AO71" i="50"/>
  <c r="AO70" i="50"/>
  <c r="AO69" i="50"/>
  <c r="AO68" i="50"/>
  <c r="AO67" i="50"/>
  <c r="AO66" i="50"/>
  <c r="AO65" i="50"/>
  <c r="B4" i="50"/>
  <c r="AW3" i="50"/>
  <c r="F6" i="50" s="1"/>
  <c r="AO110" i="49"/>
  <c r="AO109" i="49"/>
  <c r="AO108" i="49"/>
  <c r="AO107" i="49"/>
  <c r="AO106" i="49"/>
  <c r="AO105" i="49"/>
  <c r="AO104" i="49"/>
  <c r="AO103" i="49"/>
  <c r="AO102" i="49"/>
  <c r="AO101" i="49"/>
  <c r="AO100" i="49"/>
  <c r="AO99" i="49"/>
  <c r="AO98" i="49"/>
  <c r="AO97" i="49"/>
  <c r="AO96" i="49"/>
  <c r="AO95" i="49"/>
  <c r="AO94" i="49"/>
  <c r="AO93" i="49"/>
  <c r="AO92" i="49"/>
  <c r="AO91" i="49"/>
  <c r="AO90" i="49"/>
  <c r="AO89" i="49"/>
  <c r="AO88" i="49"/>
  <c r="AO87" i="49"/>
  <c r="AO86" i="49"/>
  <c r="AO85" i="49"/>
  <c r="AO84" i="49"/>
  <c r="AO83" i="49"/>
  <c r="AO82" i="49"/>
  <c r="AO81" i="49"/>
  <c r="AO80" i="49"/>
  <c r="AO79" i="49"/>
  <c r="AO78" i="49"/>
  <c r="AO77" i="49"/>
  <c r="AO76" i="49"/>
  <c r="AO75" i="49"/>
  <c r="AO74" i="49"/>
  <c r="AO73" i="49"/>
  <c r="AO72" i="49"/>
  <c r="AO71" i="49"/>
  <c r="AO70" i="49"/>
  <c r="AO69" i="49"/>
  <c r="AO68" i="49"/>
  <c r="AO67" i="49"/>
  <c r="AO66" i="49"/>
  <c r="AO65" i="49"/>
  <c r="B4" i="49"/>
  <c r="AW3" i="49"/>
  <c r="F6" i="49" s="1"/>
  <c r="AO110" i="48"/>
  <c r="AO109" i="48"/>
  <c r="AO108" i="48"/>
  <c r="AO107" i="48"/>
  <c r="AO106" i="48"/>
  <c r="AO105" i="48"/>
  <c r="AO104" i="48"/>
  <c r="AO103" i="48"/>
  <c r="AO102" i="48"/>
  <c r="AO101" i="48"/>
  <c r="AO100" i="48"/>
  <c r="AO99" i="48"/>
  <c r="AO98" i="48"/>
  <c r="AO97" i="48"/>
  <c r="AO96" i="48"/>
  <c r="AO95" i="48"/>
  <c r="AO94" i="48"/>
  <c r="AO93" i="48"/>
  <c r="AO92" i="48"/>
  <c r="AO91" i="48"/>
  <c r="AO90" i="48"/>
  <c r="AO89" i="48"/>
  <c r="AO88" i="48"/>
  <c r="AO87" i="48"/>
  <c r="AO86" i="48"/>
  <c r="AO85" i="48"/>
  <c r="AO84" i="48"/>
  <c r="AO83" i="48"/>
  <c r="AO82" i="48"/>
  <c r="AO81" i="48"/>
  <c r="AO80" i="48"/>
  <c r="AO79" i="48"/>
  <c r="AO78" i="48"/>
  <c r="AO77" i="48"/>
  <c r="AO76" i="48"/>
  <c r="AO75" i="48"/>
  <c r="AO74" i="48"/>
  <c r="AO73" i="48"/>
  <c r="AO72" i="48"/>
  <c r="AO71" i="48"/>
  <c r="AO70" i="48"/>
  <c r="AO69" i="48"/>
  <c r="AO68" i="48"/>
  <c r="AO67" i="48"/>
  <c r="AO66" i="48"/>
  <c r="AO65" i="48"/>
  <c r="B4" i="48"/>
  <c r="AW3" i="48"/>
  <c r="F6" i="48" s="1"/>
  <c r="AO110" i="47"/>
  <c r="AO109" i="47"/>
  <c r="AO108" i="47"/>
  <c r="AO107" i="47"/>
  <c r="AO106" i="47"/>
  <c r="AO105" i="47"/>
  <c r="AO104" i="47"/>
  <c r="AO103" i="47"/>
  <c r="AO102" i="47"/>
  <c r="AO101" i="47"/>
  <c r="AO100" i="47"/>
  <c r="AO99" i="47"/>
  <c r="AO98" i="47"/>
  <c r="AO97" i="47"/>
  <c r="AO96" i="47"/>
  <c r="AO95" i="47"/>
  <c r="AO94" i="47"/>
  <c r="AO93" i="47"/>
  <c r="AO92" i="47"/>
  <c r="AO91" i="47"/>
  <c r="AO90" i="47"/>
  <c r="AO89" i="47"/>
  <c r="AO88" i="47"/>
  <c r="AO87" i="47"/>
  <c r="AO86" i="47"/>
  <c r="AO85" i="47"/>
  <c r="AO84" i="47"/>
  <c r="AO83" i="47"/>
  <c r="AO82" i="47"/>
  <c r="AO81" i="47"/>
  <c r="AO80" i="47"/>
  <c r="AO79" i="47"/>
  <c r="AO78" i="47"/>
  <c r="AO77" i="47"/>
  <c r="AO76" i="47"/>
  <c r="AO75" i="47"/>
  <c r="AO74" i="47"/>
  <c r="AO73" i="47"/>
  <c r="AO72" i="47"/>
  <c r="AO71" i="47"/>
  <c r="AO70" i="47"/>
  <c r="AO69" i="47"/>
  <c r="AO68" i="47"/>
  <c r="AO67" i="47"/>
  <c r="AO66" i="47"/>
  <c r="AO65" i="47"/>
  <c r="B4" i="47"/>
  <c r="AW3" i="47"/>
  <c r="F6" i="47" s="1"/>
  <c r="AO110" i="46"/>
  <c r="AO109" i="46"/>
  <c r="AO108" i="46"/>
  <c r="AO107" i="46"/>
  <c r="AO106" i="46"/>
  <c r="AO105" i="46"/>
  <c r="AO104" i="46"/>
  <c r="AO103" i="46"/>
  <c r="AO102" i="46"/>
  <c r="AO101" i="46"/>
  <c r="AO100" i="46"/>
  <c r="AO99" i="46"/>
  <c r="AO98" i="46"/>
  <c r="AO97" i="46"/>
  <c r="AO96" i="46"/>
  <c r="AO95" i="46"/>
  <c r="AO94" i="46"/>
  <c r="AO93" i="46"/>
  <c r="AO92" i="46"/>
  <c r="AO91" i="46"/>
  <c r="AO90" i="46"/>
  <c r="AO89" i="46"/>
  <c r="AO88" i="46"/>
  <c r="AO87" i="46"/>
  <c r="AO86" i="46"/>
  <c r="AO85" i="46"/>
  <c r="AO84" i="46"/>
  <c r="AO83" i="46"/>
  <c r="AO82" i="46"/>
  <c r="AO81" i="46"/>
  <c r="AO80" i="46"/>
  <c r="AO79" i="46"/>
  <c r="AO78" i="46"/>
  <c r="AO77" i="46"/>
  <c r="AO76" i="46"/>
  <c r="AO75" i="46"/>
  <c r="AO74" i="46"/>
  <c r="AO73" i="46"/>
  <c r="AO72" i="46"/>
  <c r="AO71" i="46"/>
  <c r="AO70" i="46"/>
  <c r="AO69" i="46"/>
  <c r="AO68" i="46"/>
  <c r="AO67" i="46"/>
  <c r="AO66" i="46"/>
  <c r="AO65" i="46"/>
  <c r="B4" i="46"/>
  <c r="AW3" i="46"/>
  <c r="F6" i="46" s="1"/>
  <c r="AO110" i="45"/>
  <c r="AO109" i="45"/>
  <c r="AO108" i="45"/>
  <c r="AO107" i="45"/>
  <c r="AO106" i="45"/>
  <c r="AO105" i="45"/>
  <c r="AO104" i="45"/>
  <c r="AO103" i="45"/>
  <c r="AO102" i="45"/>
  <c r="AO101" i="45"/>
  <c r="AO100" i="45"/>
  <c r="AO99" i="45"/>
  <c r="AO98" i="45"/>
  <c r="AO97" i="45"/>
  <c r="AO96" i="45"/>
  <c r="AO95" i="45"/>
  <c r="AO94" i="45"/>
  <c r="AO93" i="45"/>
  <c r="AO92" i="45"/>
  <c r="AO91" i="45"/>
  <c r="AO90" i="45"/>
  <c r="AO89" i="45"/>
  <c r="AO88" i="45"/>
  <c r="AO87" i="45"/>
  <c r="AO86" i="45"/>
  <c r="AO85" i="45"/>
  <c r="AO84" i="45"/>
  <c r="AO83" i="45"/>
  <c r="AO82" i="45"/>
  <c r="AO81" i="45"/>
  <c r="AO80" i="45"/>
  <c r="AO79" i="45"/>
  <c r="AO78" i="45"/>
  <c r="AO77" i="45"/>
  <c r="AO76" i="45"/>
  <c r="AO75" i="45"/>
  <c r="AO74" i="45"/>
  <c r="AO73" i="45"/>
  <c r="AO72" i="45"/>
  <c r="AO71" i="45"/>
  <c r="AO70" i="45"/>
  <c r="AO69" i="45"/>
  <c r="AO68" i="45"/>
  <c r="AO67" i="45"/>
  <c r="AO66" i="45"/>
  <c r="AO65" i="45"/>
  <c r="B4" i="45"/>
  <c r="AW3" i="45"/>
  <c r="F6" i="45" s="1"/>
  <c r="AO110" i="44"/>
  <c r="AO109" i="44"/>
  <c r="AO108" i="44"/>
  <c r="AO107" i="44"/>
  <c r="AO106" i="44"/>
  <c r="AO105" i="44"/>
  <c r="AO104" i="44"/>
  <c r="AO103" i="44"/>
  <c r="AO102" i="44"/>
  <c r="AO101" i="44"/>
  <c r="AO100" i="44"/>
  <c r="AO99" i="44"/>
  <c r="AO98" i="44"/>
  <c r="AO97" i="44"/>
  <c r="AO96" i="44"/>
  <c r="AO95" i="44"/>
  <c r="AO94" i="44"/>
  <c r="AO93" i="44"/>
  <c r="AO92" i="44"/>
  <c r="AO91" i="44"/>
  <c r="AO90" i="44"/>
  <c r="AO89" i="44"/>
  <c r="AO88" i="44"/>
  <c r="AO87" i="44"/>
  <c r="AO86" i="44"/>
  <c r="AO85" i="44"/>
  <c r="AO84" i="44"/>
  <c r="AO83" i="44"/>
  <c r="AO82" i="44"/>
  <c r="AO81" i="44"/>
  <c r="AO80" i="44"/>
  <c r="AO79" i="44"/>
  <c r="AO78" i="44"/>
  <c r="AO77" i="44"/>
  <c r="AO76" i="44"/>
  <c r="AO75" i="44"/>
  <c r="AO74" i="44"/>
  <c r="AO73" i="44"/>
  <c r="AO72" i="44"/>
  <c r="AO71" i="44"/>
  <c r="AO70" i="44"/>
  <c r="AO69" i="44"/>
  <c r="AO68" i="44"/>
  <c r="AO67" i="44"/>
  <c r="AO66" i="44"/>
  <c r="AO65" i="44"/>
  <c r="B4" i="44"/>
  <c r="AW3" i="44"/>
  <c r="F6" i="44" s="1"/>
  <c r="H13" i="37" l="1"/>
  <c r="AO65" i="34" l="1"/>
  <c r="AO66" i="34"/>
  <c r="AO67" i="34"/>
  <c r="AO68" i="34"/>
  <c r="AO69" i="34"/>
  <c r="AO70" i="34"/>
  <c r="AO71" i="34"/>
  <c r="AO72" i="34"/>
  <c r="AO73" i="34"/>
  <c r="AO74" i="34"/>
  <c r="AO75" i="34"/>
  <c r="AO76" i="34"/>
  <c r="AO77" i="34"/>
  <c r="AO78" i="34"/>
  <c r="AO79" i="34"/>
  <c r="AO80" i="34"/>
  <c r="AO81" i="34"/>
  <c r="AO82" i="34"/>
  <c r="AO83" i="34"/>
  <c r="AO84" i="34"/>
  <c r="AO85" i="34"/>
  <c r="AO86" i="34"/>
  <c r="AO87" i="34"/>
  <c r="AO88" i="34"/>
  <c r="AO89" i="34"/>
  <c r="AO90" i="34"/>
  <c r="AO91" i="34"/>
  <c r="AO92" i="34"/>
  <c r="AO93" i="34"/>
  <c r="AO94" i="34"/>
  <c r="AO95" i="34"/>
  <c r="AO96" i="34"/>
  <c r="AO97" i="34"/>
  <c r="AO98" i="34"/>
  <c r="AO99" i="34"/>
  <c r="AO100" i="34"/>
  <c r="AO101" i="34"/>
  <c r="AO102" i="34"/>
  <c r="AO103" i="34"/>
  <c r="AO104" i="34"/>
  <c r="AO105" i="34"/>
  <c r="AO106" i="34"/>
  <c r="AO107" i="34"/>
  <c r="AO108" i="34"/>
  <c r="AO109" i="34"/>
  <c r="AO110" i="34"/>
  <c r="AO64" i="33"/>
  <c r="AO65" i="33"/>
  <c r="AO66" i="33"/>
  <c r="AO67" i="33"/>
  <c r="AO68" i="33"/>
  <c r="AO69" i="33"/>
  <c r="AO70" i="33"/>
  <c r="AO71" i="33"/>
  <c r="AO72" i="33"/>
  <c r="AO73" i="33"/>
  <c r="AO74" i="33"/>
  <c r="AO75" i="33"/>
  <c r="AO76" i="33"/>
  <c r="AO77" i="33"/>
  <c r="AO78" i="33"/>
  <c r="AO79" i="33"/>
  <c r="AO80" i="33"/>
  <c r="AO81" i="33"/>
  <c r="AO82" i="33"/>
  <c r="AO83" i="33"/>
  <c r="AO84" i="33"/>
  <c r="AO85" i="33"/>
  <c r="AO86" i="33"/>
  <c r="AO87" i="33"/>
  <c r="AO88" i="33"/>
  <c r="AO89" i="33"/>
  <c r="AO90" i="33"/>
  <c r="AO91" i="33"/>
  <c r="AO92" i="33"/>
  <c r="AO93" i="33"/>
  <c r="AO94" i="33"/>
  <c r="AO95" i="33"/>
  <c r="AO96" i="33"/>
  <c r="AO97" i="33"/>
  <c r="AO98" i="33"/>
  <c r="AO99" i="33"/>
  <c r="AO100" i="33"/>
  <c r="AO101" i="33"/>
  <c r="AO102" i="33"/>
  <c r="AO103" i="33"/>
  <c r="AO104" i="33"/>
  <c r="AO105" i="33"/>
  <c r="AO106" i="33"/>
  <c r="AO107" i="33"/>
  <c r="AO108" i="33"/>
  <c r="AO109" i="33"/>
  <c r="AO110" i="33"/>
  <c r="AO64" i="32"/>
  <c r="AO65" i="32"/>
  <c r="AO66" i="32"/>
  <c r="AO67" i="32"/>
  <c r="AO68" i="32"/>
  <c r="AO69" i="32"/>
  <c r="AO70" i="32"/>
  <c r="AO71" i="32"/>
  <c r="AO72" i="32"/>
  <c r="AO73" i="32"/>
  <c r="AO74" i="32"/>
  <c r="AO75" i="32"/>
  <c r="AO76" i="32"/>
  <c r="AO77" i="32"/>
  <c r="AO78" i="32"/>
  <c r="AO79" i="32"/>
  <c r="AO80" i="32"/>
  <c r="AO81" i="32"/>
  <c r="AO82" i="32"/>
  <c r="AO83" i="32"/>
  <c r="AO84" i="32"/>
  <c r="AO85" i="32"/>
  <c r="AO86" i="32"/>
  <c r="AO87" i="32"/>
  <c r="AO88" i="32"/>
  <c r="AO89" i="32"/>
  <c r="AO90" i="32"/>
  <c r="AO91" i="32"/>
  <c r="AO92" i="32"/>
  <c r="AO93" i="32"/>
  <c r="AO94" i="32"/>
  <c r="AO95" i="32"/>
  <c r="AO96" i="32"/>
  <c r="AO97" i="32"/>
  <c r="AO98" i="32"/>
  <c r="AO99" i="32"/>
  <c r="AO100" i="32"/>
  <c r="AO101" i="32"/>
  <c r="AO102" i="32"/>
  <c r="AO103" i="32"/>
  <c r="AO104" i="32"/>
  <c r="AO105" i="32"/>
  <c r="AO106" i="32"/>
  <c r="AO107" i="32"/>
  <c r="AO108" i="32"/>
  <c r="AO109" i="32"/>
  <c r="AO110" i="32"/>
  <c r="AO64" i="31"/>
  <c r="AO65" i="31"/>
  <c r="AO66" i="31"/>
  <c r="AO67" i="31"/>
  <c r="AO68" i="31"/>
  <c r="AO69" i="31"/>
  <c r="AO70" i="31"/>
  <c r="AO71" i="31"/>
  <c r="AO72" i="31"/>
  <c r="AO73" i="31"/>
  <c r="AO74" i="31"/>
  <c r="AO75" i="31"/>
  <c r="AO76" i="31"/>
  <c r="AO77" i="31"/>
  <c r="AO78" i="31"/>
  <c r="AO79" i="31"/>
  <c r="AO80" i="31"/>
  <c r="AO81" i="31"/>
  <c r="AO82" i="31"/>
  <c r="AO83" i="31"/>
  <c r="AO84" i="31"/>
  <c r="AO85" i="31"/>
  <c r="AO86" i="31"/>
  <c r="AO87" i="31"/>
  <c r="AO88" i="31"/>
  <c r="AO89" i="31"/>
  <c r="AO90" i="31"/>
  <c r="AO91" i="31"/>
  <c r="AO92" i="31"/>
  <c r="AO93" i="31"/>
  <c r="AO94" i="31"/>
  <c r="AO95" i="31"/>
  <c r="AO96" i="31"/>
  <c r="AO97" i="31"/>
  <c r="AO98" i="31"/>
  <c r="AO99" i="31"/>
  <c r="AO100" i="31"/>
  <c r="AO101" i="31"/>
  <c r="AO102" i="31"/>
  <c r="AO103" i="31"/>
  <c r="AO104" i="31"/>
  <c r="AO105" i="31"/>
  <c r="AO106" i="31"/>
  <c r="AO107" i="31"/>
  <c r="AO108" i="31"/>
  <c r="AO109" i="31"/>
  <c r="AO110" i="31"/>
  <c r="AO64" i="22"/>
  <c r="AO65" i="22"/>
  <c r="AO66" i="22"/>
  <c r="AO67" i="22"/>
  <c r="AO68" i="22"/>
  <c r="AO69" i="22"/>
  <c r="AO70" i="22"/>
  <c r="AO71" i="22"/>
  <c r="AO72" i="22"/>
  <c r="AO73" i="22"/>
  <c r="AO74" i="22"/>
  <c r="AO75" i="22"/>
  <c r="AO76" i="22"/>
  <c r="AO77" i="22"/>
  <c r="AO78" i="22"/>
  <c r="AO79" i="22"/>
  <c r="AO80" i="22"/>
  <c r="AO81" i="22"/>
  <c r="AO82" i="22"/>
  <c r="AO83" i="22"/>
  <c r="AO84" i="22"/>
  <c r="AO85" i="22"/>
  <c r="AO86" i="22"/>
  <c r="AO87" i="22"/>
  <c r="AO88" i="22"/>
  <c r="AO89" i="22"/>
  <c r="AO90" i="22"/>
  <c r="AO91" i="22"/>
  <c r="AO92" i="22"/>
  <c r="AO93" i="22"/>
  <c r="AO94" i="22"/>
  <c r="AO95" i="22"/>
  <c r="AO96" i="22"/>
  <c r="AO97" i="22"/>
  <c r="AO98" i="22"/>
  <c r="AO99" i="22"/>
  <c r="AO100" i="22"/>
  <c r="AO101" i="22"/>
  <c r="AO102" i="22"/>
  <c r="AO103" i="22"/>
  <c r="AO104" i="22"/>
  <c r="AO105" i="22"/>
  <c r="AO106" i="22"/>
  <c r="AO107" i="22"/>
  <c r="AO108" i="22"/>
  <c r="AO109" i="22"/>
  <c r="AO110" i="2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AK71" i="28"/>
  <c r="AK72" i="28"/>
  <c r="AK73" i="28"/>
  <c r="AK74" i="28"/>
  <c r="AK75" i="28"/>
  <c r="AK76" i="28"/>
  <c r="AK77" i="28"/>
  <c r="AK78" i="28"/>
  <c r="AK79" i="28"/>
  <c r="AK80" i="28"/>
  <c r="AK81" i="28"/>
  <c r="AK82" i="28"/>
  <c r="AK83" i="28"/>
  <c r="AK84" i="28"/>
  <c r="AK85" i="28"/>
  <c r="AK86" i="28"/>
  <c r="AK87" i="28"/>
  <c r="AK88" i="28"/>
  <c r="AK89" i="28"/>
  <c r="AK90" i="28"/>
  <c r="AK91" i="28"/>
  <c r="AK92" i="28"/>
  <c r="AK93" i="28"/>
  <c r="AK94" i="28"/>
  <c r="AK95" i="28"/>
  <c r="AK96" i="28"/>
  <c r="AK97" i="28"/>
  <c r="AK98" i="28"/>
  <c r="AK99" i="28"/>
  <c r="AK100" i="28"/>
  <c r="AK101" i="28"/>
  <c r="AK102" i="28"/>
  <c r="AK103" i="28"/>
  <c r="AK104" i="28"/>
  <c r="AK105" i="28"/>
  <c r="AK106" i="28"/>
  <c r="AK107" i="28"/>
  <c r="AK108" i="28"/>
  <c r="AK109" i="28"/>
  <c r="AK110" i="28"/>
  <c r="AK111" i="28"/>
  <c r="AK112" i="28"/>
  <c r="AK113" i="28"/>
  <c r="AK114" i="28"/>
  <c r="B11" i="28" l="1"/>
  <c r="B5" i="39" l="1"/>
  <c r="B4" i="39"/>
  <c r="F89" i="39"/>
  <c r="E89" i="39"/>
  <c r="D89" i="39"/>
  <c r="C89" i="39"/>
  <c r="A86" i="39"/>
  <c r="F84" i="39"/>
  <c r="F94" i="39" s="1"/>
  <c r="E84" i="39"/>
  <c r="D84" i="39"/>
  <c r="C84" i="39"/>
  <c r="A81" i="39"/>
  <c r="F79" i="39"/>
  <c r="E79" i="39"/>
  <c r="D79" i="39"/>
  <c r="C79" i="39"/>
  <c r="A76" i="39"/>
  <c r="F74" i="39"/>
  <c r="E74" i="39"/>
  <c r="D74" i="39"/>
  <c r="C74" i="39"/>
  <c r="A71" i="39"/>
  <c r="E62" i="39"/>
  <c r="D62" i="39"/>
  <c r="C62" i="39"/>
  <c r="B62" i="39"/>
  <c r="E61" i="39"/>
  <c r="D61" i="39"/>
  <c r="C61" i="39"/>
  <c r="B61" i="39"/>
  <c r="G46" i="39"/>
  <c r="G41" i="39"/>
  <c r="G35" i="39"/>
  <c r="H23" i="39"/>
  <c r="F86" i="39" s="1"/>
  <c r="G23" i="39"/>
  <c r="E86" i="39" s="1"/>
  <c r="F23" i="39"/>
  <c r="D86" i="39" s="1"/>
  <c r="E23" i="39"/>
  <c r="C86" i="39" s="1"/>
  <c r="H22" i="39"/>
  <c r="F81" i="39" s="1"/>
  <c r="G22" i="39"/>
  <c r="E81" i="39" s="1"/>
  <c r="F22" i="39"/>
  <c r="D81" i="39" s="1"/>
  <c r="E22" i="39"/>
  <c r="C81" i="39" s="1"/>
  <c r="H21" i="39"/>
  <c r="F76" i="39" s="1"/>
  <c r="G21" i="39"/>
  <c r="E76" i="39" s="1"/>
  <c r="F21" i="39"/>
  <c r="D76" i="39" s="1"/>
  <c r="E21" i="39"/>
  <c r="C76" i="39" s="1"/>
  <c r="H20" i="39"/>
  <c r="G20" i="39"/>
  <c r="F20" i="39"/>
  <c r="D71" i="39" s="1"/>
  <c r="E20" i="39"/>
  <c r="C71" i="39" s="1"/>
  <c r="F15" i="39"/>
  <c r="G25" i="39" l="1"/>
  <c r="G26" i="39" s="1"/>
  <c r="H25" i="39"/>
  <c r="H26" i="39" s="1"/>
  <c r="C94" i="39"/>
  <c r="F61" i="39"/>
  <c r="F62" i="39"/>
  <c r="F71" i="39"/>
  <c r="F91" i="39" s="1"/>
  <c r="E96" i="39" s="1"/>
  <c r="E94" i="39"/>
  <c r="G74" i="39"/>
  <c r="G89" i="39"/>
  <c r="E25" i="39"/>
  <c r="E26" i="39" s="1"/>
  <c r="G79" i="39"/>
  <c r="D94" i="39"/>
  <c r="G76" i="39"/>
  <c r="G81" i="39"/>
  <c r="C91" i="39"/>
  <c r="G86" i="39"/>
  <c r="D91" i="39"/>
  <c r="C96" i="39" s="1"/>
  <c r="E87" i="39"/>
  <c r="G84" i="39"/>
  <c r="E71" i="39"/>
  <c r="D72" i="39"/>
  <c r="F77" i="39"/>
  <c r="D82" i="39"/>
  <c r="F87" i="39"/>
  <c r="C77" i="39"/>
  <c r="F25" i="39"/>
  <c r="F26" i="39" s="1"/>
  <c r="D77" i="39"/>
  <c r="F82" i="39"/>
  <c r="D87" i="39"/>
  <c r="E82" i="39"/>
  <c r="C87" i="39"/>
  <c r="C72" i="39"/>
  <c r="E77" i="39"/>
  <c r="C82" i="39"/>
  <c r="G94" i="39" l="1"/>
  <c r="G71" i="39"/>
  <c r="F72" i="39"/>
  <c r="E91" i="39"/>
  <c r="D96" i="39" s="1"/>
  <c r="E72" i="39"/>
  <c r="D25" i="39"/>
  <c r="G42" i="39" s="1"/>
  <c r="D92" i="39"/>
  <c r="C92" i="39"/>
  <c r="G87" i="39"/>
  <c r="B96" i="39"/>
  <c r="G82" i="39"/>
  <c r="G77" i="39"/>
  <c r="F92" i="39"/>
  <c r="G91" i="39" l="1"/>
  <c r="G72" i="39"/>
  <c r="E92" i="39"/>
  <c r="G36" i="39"/>
  <c r="G47" i="39" s="1"/>
  <c r="E60" i="39" s="1"/>
  <c r="E63" i="39" s="1"/>
  <c r="G92" i="39"/>
  <c r="B60" i="39" l="1"/>
  <c r="D60" i="39"/>
  <c r="D63" i="39" s="1"/>
  <c r="C60" i="39"/>
  <c r="C63" i="39" s="1"/>
  <c r="F60" i="39" l="1"/>
  <c r="F63" i="39" s="1"/>
  <c r="B63" i="39"/>
  <c r="C40" i="37" l="1"/>
  <c r="D18" i="37"/>
  <c r="H18" i="37" l="1"/>
  <c r="G18" i="37"/>
  <c r="F18" i="37"/>
  <c r="E18" i="37"/>
  <c r="C18" i="37" l="1"/>
  <c r="B10" i="39" s="1"/>
  <c r="H15" i="39" s="1"/>
  <c r="AW3" i="32"/>
  <c r="F5" i="32" s="1"/>
  <c r="A206" i="26" l="1"/>
  <c r="E206" i="26" l="1"/>
  <c r="B206" i="26"/>
  <c r="A207" i="26"/>
  <c r="E207" i="26" l="1"/>
  <c r="A208" i="26"/>
  <c r="B207" i="26"/>
  <c r="E208" i="26" l="1"/>
  <c r="B208" i="26"/>
  <c r="A209" i="26"/>
  <c r="O13" i="37" l="1"/>
  <c r="O24" i="37" s="1"/>
  <c r="J13" i="37"/>
  <c r="J24" i="37" s="1"/>
  <c r="I13" i="37"/>
  <c r="I24" i="37" s="1"/>
  <c r="R13" i="37"/>
  <c r="R24" i="37" s="1"/>
  <c r="B209" i="26"/>
  <c r="E209" i="26"/>
  <c r="A210" i="26"/>
  <c r="E210" i="26" l="1"/>
  <c r="B210" i="26"/>
  <c r="A211" i="26"/>
  <c r="E211" i="26" l="1"/>
  <c r="A212" i="26"/>
  <c r="B211" i="26"/>
  <c r="A213" i="26" l="1"/>
  <c r="E212" i="26"/>
  <c r="B212" i="26"/>
  <c r="E213" i="26" l="1"/>
  <c r="B213" i="26"/>
  <c r="A214" i="26"/>
  <c r="A215" i="26" l="1"/>
  <c r="E214" i="26"/>
  <c r="B214" i="26"/>
  <c r="A216" i="26" l="1"/>
  <c r="E216" i="26" s="1"/>
  <c r="E215" i="26"/>
  <c r="B215" i="26"/>
  <c r="B216" i="26" l="1"/>
  <c r="A217" i="26"/>
  <c r="E217" i="26" s="1"/>
  <c r="A218" i="26" l="1"/>
  <c r="E218" i="26" s="1"/>
  <c r="B217" i="26"/>
  <c r="B218" i="26" l="1"/>
  <c r="A219" i="26"/>
  <c r="E219" i="26" s="1"/>
  <c r="A220" i="26" l="1"/>
  <c r="E220" i="26" s="1"/>
  <c r="B219" i="26"/>
  <c r="B220" i="26" l="1"/>
  <c r="A221" i="26"/>
  <c r="E221" i="26" s="1"/>
  <c r="B221" i="26" l="1"/>
  <c r="A222" i="26"/>
  <c r="E222" i="26" s="1"/>
  <c r="A223" i="26" l="1"/>
  <c r="E223" i="26" s="1"/>
  <c r="B222" i="26"/>
  <c r="B223" i="26" l="1"/>
  <c r="A224" i="26"/>
  <c r="E224" i="26" s="1"/>
  <c r="B224" i="26" l="1"/>
  <c r="A225" i="26"/>
  <c r="E225" i="26" s="1"/>
  <c r="B225" i="26" l="1"/>
  <c r="A226" i="26"/>
  <c r="E226" i="26" s="1"/>
  <c r="B226" i="26" l="1"/>
  <c r="A227" i="26"/>
  <c r="E227" i="26" s="1"/>
  <c r="B227" i="26" l="1"/>
  <c r="A228" i="26"/>
  <c r="E228" i="26" s="1"/>
  <c r="B228" i="26" l="1"/>
  <c r="A229" i="26"/>
  <c r="E229" i="26" s="1"/>
  <c r="B229" i="26" l="1"/>
  <c r="A230" i="26"/>
  <c r="E230" i="26" s="1"/>
  <c r="B230" i="26" l="1"/>
  <c r="A231" i="26"/>
  <c r="E231" i="26" s="1"/>
  <c r="B231" i="26" l="1"/>
  <c r="A232" i="26"/>
  <c r="E232" i="26" s="1"/>
  <c r="B232" i="26" l="1"/>
  <c r="A233" i="26"/>
  <c r="E233" i="26" s="1"/>
  <c r="B233" i="26" l="1"/>
  <c r="A234" i="26"/>
  <c r="E234" i="26" s="1"/>
  <c r="B234" i="26" l="1"/>
  <c r="A235" i="26"/>
  <c r="E235" i="26" s="1"/>
  <c r="B235" i="26" l="1"/>
  <c r="A236" i="26"/>
  <c r="E236" i="26" s="1"/>
  <c r="B236" i="26" l="1"/>
  <c r="A237" i="26"/>
  <c r="E237" i="26" s="1"/>
  <c r="B237" i="26" l="1"/>
  <c r="A238" i="26"/>
  <c r="E238" i="26" s="1"/>
  <c r="B238" i="26" l="1"/>
  <c r="A239" i="26"/>
  <c r="E239" i="26" s="1"/>
  <c r="B239" i="26" l="1"/>
  <c r="A240" i="26"/>
  <c r="B240" i="26" s="1"/>
  <c r="E240" i="26" l="1"/>
  <c r="A241" i="26"/>
  <c r="B241" i="26" s="1"/>
  <c r="E241" i="26" l="1"/>
  <c r="A242" i="26"/>
  <c r="E242" i="26" s="1"/>
  <c r="B242" i="26" l="1"/>
  <c r="A243" i="26"/>
  <c r="B243" i="26" s="1"/>
  <c r="E243" i="26" l="1"/>
  <c r="A244" i="26"/>
  <c r="B244" i="26" s="1"/>
  <c r="E244" i="26" l="1"/>
  <c r="A245" i="26"/>
  <c r="B245" i="26" s="1"/>
  <c r="E245" i="26" l="1"/>
  <c r="A246" i="26"/>
  <c r="E246" i="26" s="1"/>
  <c r="B246" i="26" l="1"/>
  <c r="A247" i="26"/>
  <c r="B247" i="26" s="1"/>
  <c r="E247" i="26" l="1"/>
  <c r="A248" i="26"/>
  <c r="B248" i="26" s="1"/>
  <c r="A249" i="26" l="1"/>
  <c r="B249" i="26" s="1"/>
  <c r="E248" i="26"/>
  <c r="E249" i="26" l="1"/>
  <c r="A250" i="26"/>
  <c r="B250" i="26" s="1"/>
  <c r="E250" i="26" l="1"/>
  <c r="A251" i="26"/>
  <c r="B251" i="26" s="1"/>
  <c r="E251" i="26" l="1"/>
  <c r="A252" i="26"/>
  <c r="B252" i="26" s="1"/>
  <c r="E252" i="26" l="1"/>
  <c r="A253" i="26"/>
  <c r="B253" i="26" s="1"/>
  <c r="E253" i="26" l="1"/>
  <c r="A254" i="26"/>
  <c r="E254" i="26" s="1"/>
  <c r="B254" i="26" l="1"/>
  <c r="A255" i="26"/>
  <c r="B255" i="26" s="1"/>
  <c r="E255" i="26" l="1"/>
  <c r="A256" i="26"/>
  <c r="A257" i="26" s="1"/>
  <c r="B257" i="26" s="1"/>
  <c r="B256" i="26" l="1"/>
  <c r="E257" i="26"/>
  <c r="A258" i="26"/>
  <c r="E258" i="26" s="1"/>
  <c r="E256" i="26"/>
  <c r="A259" i="26" l="1"/>
  <c r="E259" i="26" s="1"/>
  <c r="B258" i="26"/>
  <c r="A260" i="26" l="1"/>
  <c r="B260" i="26" s="1"/>
  <c r="B259" i="26"/>
  <c r="A261" i="26" l="1"/>
  <c r="B261" i="26" s="1"/>
  <c r="E260" i="26"/>
  <c r="A262" i="26" l="1"/>
  <c r="E262" i="26" s="1"/>
  <c r="E261" i="26"/>
  <c r="A263" i="26" l="1"/>
  <c r="B263" i="26" s="1"/>
  <c r="B262" i="26"/>
  <c r="A264" i="26" l="1"/>
  <c r="B264" i="26" s="1"/>
  <c r="E263" i="26"/>
  <c r="A265" i="26" l="1"/>
  <c r="B265" i="26" s="1"/>
  <c r="E264" i="26"/>
  <c r="A266" i="26" l="1"/>
  <c r="E266" i="26" s="1"/>
  <c r="E265" i="26"/>
  <c r="A267" i="26" l="1"/>
  <c r="B267" i="26" s="1"/>
  <c r="B266" i="26"/>
  <c r="A268" i="26" l="1"/>
  <c r="B268" i="26" s="1"/>
  <c r="E267" i="26"/>
  <c r="A269" i="26" l="1"/>
  <c r="B269" i="26" s="1"/>
  <c r="E268" i="26"/>
  <c r="A270" i="26" l="1"/>
  <c r="E270" i="26" s="1"/>
  <c r="E269" i="26"/>
  <c r="A271" i="26" l="1"/>
  <c r="B271" i="26" s="1"/>
  <c r="B270" i="26"/>
  <c r="A272" i="26" l="1"/>
  <c r="B272" i="26" s="1"/>
  <c r="E271" i="26"/>
  <c r="A273" i="26" l="1"/>
  <c r="B273" i="26" s="1"/>
  <c r="E272" i="26"/>
  <c r="A274" i="26" l="1"/>
  <c r="A275" i="26" s="1"/>
  <c r="E273" i="26"/>
  <c r="B274" i="26" l="1"/>
  <c r="E274" i="26"/>
  <c r="B275" i="26"/>
  <c r="E275" i="26"/>
  <c r="A276" i="26"/>
  <c r="B276" i="26" l="1"/>
  <c r="E276" i="26"/>
  <c r="A277" i="26"/>
  <c r="B277" i="26" l="1"/>
  <c r="E277" i="26"/>
  <c r="A278" i="26"/>
  <c r="E278" i="26" l="1"/>
  <c r="B278" i="26"/>
  <c r="A279" i="26"/>
  <c r="B279" i="26" l="1"/>
  <c r="E279" i="26"/>
  <c r="A280" i="26"/>
  <c r="B280" i="26" l="1"/>
  <c r="E280" i="26"/>
  <c r="A281" i="26"/>
  <c r="B281" i="26" l="1"/>
  <c r="E281" i="26"/>
  <c r="A282" i="26"/>
  <c r="E282" i="26" l="1"/>
  <c r="B282" i="26"/>
  <c r="A283" i="26"/>
  <c r="B283" i="26" l="1"/>
  <c r="E283" i="26"/>
  <c r="A284" i="26"/>
  <c r="B284" i="26" l="1"/>
  <c r="E284" i="26"/>
  <c r="A285" i="26"/>
  <c r="B285" i="26" l="1"/>
  <c r="E285" i="26"/>
  <c r="A286" i="26"/>
  <c r="E286" i="26" l="1"/>
  <c r="B286" i="26"/>
  <c r="A287" i="26"/>
  <c r="B287" i="26" l="1"/>
  <c r="E287" i="26"/>
  <c r="A288" i="26"/>
  <c r="B288" i="26" l="1"/>
  <c r="E288" i="26"/>
  <c r="A289" i="26"/>
  <c r="B289" i="26" l="1"/>
  <c r="E289" i="26"/>
  <c r="A290" i="26"/>
  <c r="E290" i="26" l="1"/>
  <c r="B290" i="26"/>
  <c r="A291" i="26"/>
  <c r="E291" i="26" l="1"/>
  <c r="B291" i="26"/>
  <c r="A292" i="26"/>
  <c r="B292" i="26" l="1"/>
  <c r="E292" i="26"/>
  <c r="A293" i="26"/>
  <c r="B293" i="26" l="1"/>
  <c r="E293" i="26"/>
  <c r="A294" i="26"/>
  <c r="E294" i="26" l="1"/>
  <c r="B294" i="26"/>
  <c r="A295" i="26"/>
  <c r="B295" i="26" l="1"/>
  <c r="E295" i="26"/>
  <c r="A296" i="26"/>
  <c r="B296" i="26" l="1"/>
  <c r="E296" i="26"/>
  <c r="A297" i="26"/>
  <c r="B297" i="26" l="1"/>
  <c r="E297" i="26"/>
  <c r="A298" i="26"/>
  <c r="E298" i="26" l="1"/>
  <c r="B298" i="26"/>
  <c r="A299" i="26"/>
  <c r="B299" i="26" l="1"/>
  <c r="E299" i="26"/>
  <c r="A300" i="26"/>
  <c r="B300" i="26" l="1"/>
  <c r="E300" i="26"/>
  <c r="A301" i="26"/>
  <c r="B301" i="26" l="1"/>
  <c r="E301" i="26"/>
  <c r="A302" i="26"/>
  <c r="E302" i="26" l="1"/>
  <c r="B302" i="26"/>
  <c r="A303" i="26"/>
  <c r="B303" i="26" l="1"/>
  <c r="E303" i="26"/>
  <c r="A304" i="26"/>
  <c r="B304" i="26" l="1"/>
  <c r="E304" i="26"/>
  <c r="A305" i="26"/>
  <c r="B305" i="26" l="1"/>
  <c r="E305" i="26"/>
  <c r="A306" i="26"/>
  <c r="E306" i="26" l="1"/>
  <c r="B306" i="26"/>
  <c r="A307" i="26"/>
  <c r="B307" i="26" l="1"/>
  <c r="E307" i="26"/>
  <c r="A308" i="26"/>
  <c r="B308" i="26" l="1"/>
  <c r="E308" i="26"/>
  <c r="A309" i="26"/>
  <c r="B309" i="26" l="1"/>
  <c r="E309" i="26"/>
  <c r="A310" i="26"/>
  <c r="E310" i="26" l="1"/>
  <c r="B310" i="26"/>
  <c r="A311" i="26"/>
  <c r="B311" i="26" l="1"/>
  <c r="E311" i="26"/>
  <c r="A312" i="26"/>
  <c r="B312" i="26" l="1"/>
  <c r="E312" i="26"/>
  <c r="A313" i="26"/>
  <c r="B313" i="26" l="1"/>
  <c r="E313" i="26"/>
  <c r="A314" i="26"/>
  <c r="E314" i="26" l="1"/>
  <c r="B314" i="26"/>
  <c r="A315" i="26"/>
  <c r="B315" i="26" l="1"/>
  <c r="E315" i="26"/>
  <c r="A316" i="26"/>
  <c r="B316" i="26" l="1"/>
  <c r="E316" i="26"/>
  <c r="A317" i="26"/>
  <c r="B317" i="26" l="1"/>
  <c r="E317" i="26"/>
  <c r="A318" i="26"/>
  <c r="E318" i="26" l="1"/>
  <c r="B318" i="26"/>
  <c r="A319" i="26"/>
  <c r="B319" i="26" l="1"/>
  <c r="E319" i="26"/>
  <c r="A320" i="26"/>
  <c r="E320" i="26" l="1"/>
  <c r="B320" i="26"/>
  <c r="A321" i="26"/>
  <c r="B321" i="26" l="1"/>
  <c r="E321" i="26"/>
  <c r="A322" i="26"/>
  <c r="B322" i="26" l="1"/>
  <c r="E322" i="26"/>
  <c r="A323" i="26"/>
  <c r="B323" i="26" l="1"/>
  <c r="E323" i="26"/>
  <c r="A324" i="26"/>
  <c r="E324" i="26" l="1"/>
  <c r="B324" i="26"/>
  <c r="A325" i="26"/>
  <c r="B325" i="26" l="1"/>
  <c r="E325" i="26"/>
  <c r="A326" i="26"/>
  <c r="B326" i="26" l="1"/>
  <c r="E326" i="26"/>
  <c r="A327" i="26"/>
  <c r="B327" i="26" l="1"/>
  <c r="E327" i="26"/>
  <c r="A328" i="26"/>
  <c r="E328" i="26" l="1"/>
  <c r="B328" i="26"/>
  <c r="A329" i="26"/>
  <c r="B329" i="26" l="1"/>
  <c r="E329" i="26"/>
  <c r="A330" i="26"/>
  <c r="B330" i="26" l="1"/>
  <c r="E330" i="26"/>
  <c r="A331" i="26"/>
  <c r="B331" i="26" l="1"/>
  <c r="E331" i="26"/>
  <c r="A332" i="26"/>
  <c r="E332" i="26" l="1"/>
  <c r="B332" i="26"/>
  <c r="A333" i="26"/>
  <c r="B333" i="26" l="1"/>
  <c r="E333" i="26"/>
  <c r="A334" i="26"/>
  <c r="B334" i="26" l="1"/>
  <c r="E334" i="26"/>
  <c r="A335" i="26"/>
  <c r="B335" i="26" l="1"/>
  <c r="E335" i="26"/>
  <c r="A336" i="26"/>
  <c r="E336" i="26" l="1"/>
  <c r="B336" i="26"/>
  <c r="A337" i="26"/>
  <c r="B337" i="26" l="1"/>
  <c r="E337" i="26"/>
  <c r="A338" i="26"/>
  <c r="B338" i="26" l="1"/>
  <c r="E338" i="26"/>
  <c r="A339" i="26"/>
  <c r="B339" i="26" l="1"/>
  <c r="E339" i="26"/>
  <c r="A340" i="26"/>
  <c r="E340" i="26" l="1"/>
  <c r="B340" i="26"/>
  <c r="A341" i="26"/>
  <c r="B341" i="26" l="1"/>
  <c r="E341" i="26"/>
  <c r="A342" i="26"/>
  <c r="B342" i="26" l="1"/>
  <c r="E342" i="26"/>
  <c r="A343" i="26"/>
  <c r="B343" i="26" l="1"/>
  <c r="E343" i="26"/>
  <c r="A344" i="26"/>
  <c r="E344" i="26" l="1"/>
  <c r="B344" i="26"/>
  <c r="A345" i="26"/>
  <c r="B345" i="26" l="1"/>
  <c r="E345" i="26"/>
  <c r="A346" i="26"/>
  <c r="B346" i="26" l="1"/>
  <c r="E346" i="26"/>
  <c r="A347" i="26"/>
  <c r="E347" i="26" l="1"/>
  <c r="B347" i="26"/>
  <c r="A348" i="26"/>
  <c r="B348" i="26" l="1"/>
  <c r="E348" i="26"/>
  <c r="A349" i="26"/>
  <c r="B349" i="26" l="1"/>
  <c r="E349" i="26"/>
  <c r="A350" i="26"/>
  <c r="B350" i="26" l="1"/>
  <c r="E350" i="26"/>
  <c r="A351" i="26"/>
  <c r="E351" i="26" l="1"/>
  <c r="B351" i="26"/>
  <c r="A352" i="26"/>
  <c r="B352" i="26" l="1"/>
  <c r="E352" i="26"/>
  <c r="A353" i="26"/>
  <c r="E353" i="26" l="1"/>
  <c r="B353" i="26"/>
  <c r="A354" i="26"/>
  <c r="B354" i="26" l="1"/>
  <c r="E354" i="26"/>
  <c r="A355" i="26"/>
  <c r="E355" i="26" l="1"/>
  <c r="B355" i="26"/>
  <c r="A356" i="26"/>
  <c r="B356" i="26" l="1"/>
  <c r="E356" i="26"/>
  <c r="A357" i="26"/>
  <c r="B357" i="26" l="1"/>
  <c r="E357" i="26"/>
  <c r="A358" i="26"/>
  <c r="B358" i="26" l="1"/>
  <c r="E358" i="26"/>
  <c r="A359" i="26"/>
  <c r="E359" i="26" l="1"/>
  <c r="B359" i="26"/>
  <c r="A360" i="26"/>
  <c r="E360" i="26" l="1"/>
  <c r="B360" i="26"/>
  <c r="A361" i="26"/>
  <c r="B361" i="26" l="1"/>
  <c r="E361" i="26"/>
  <c r="A362" i="26"/>
  <c r="B362" i="26" l="1"/>
  <c r="E362" i="26"/>
  <c r="A363" i="26"/>
  <c r="E363" i="26" l="1"/>
  <c r="B363" i="26"/>
  <c r="A364" i="26"/>
  <c r="B364" i="26" l="1"/>
  <c r="E364" i="26"/>
  <c r="A365" i="26"/>
  <c r="B365" i="26" l="1"/>
  <c r="E365" i="26"/>
  <c r="A366" i="26"/>
  <c r="B366" i="26" l="1"/>
  <c r="E366" i="26"/>
  <c r="A367" i="26"/>
  <c r="E367" i="26" l="1"/>
  <c r="B367" i="26"/>
  <c r="A368" i="26"/>
  <c r="B368" i="26" l="1"/>
  <c r="E368" i="26"/>
  <c r="A369" i="26"/>
  <c r="E369" i="26" l="1"/>
  <c r="B369" i="26"/>
  <c r="A370" i="26"/>
  <c r="B370" i="26" l="1"/>
  <c r="E370" i="26"/>
  <c r="A371" i="26"/>
  <c r="E371" i="26" l="1"/>
  <c r="B371" i="26"/>
  <c r="A372" i="26"/>
  <c r="B372" i="26" l="1"/>
  <c r="E372" i="26"/>
  <c r="A373" i="26"/>
  <c r="B373" i="26" l="1"/>
  <c r="E373" i="26"/>
  <c r="A374" i="26"/>
  <c r="B374" i="26" l="1"/>
  <c r="E374" i="26"/>
  <c r="A375" i="26"/>
  <c r="E375" i="26" l="1"/>
  <c r="B375" i="26"/>
  <c r="A376" i="26"/>
  <c r="E376" i="26" l="1"/>
  <c r="B376" i="26"/>
  <c r="A377" i="26"/>
  <c r="B377" i="26" l="1"/>
  <c r="E377" i="26"/>
  <c r="A378" i="26"/>
  <c r="B378" i="26" l="1"/>
  <c r="E378" i="26"/>
  <c r="A379" i="26"/>
  <c r="B379" i="26" l="1"/>
  <c r="E379" i="26"/>
  <c r="A380" i="26"/>
  <c r="E380" i="26" l="1"/>
  <c r="B380" i="26"/>
  <c r="A381" i="26"/>
  <c r="B381" i="26" l="1"/>
  <c r="E381" i="26"/>
  <c r="A382" i="26"/>
  <c r="B382" i="26" l="1"/>
  <c r="E382" i="26"/>
  <c r="A383" i="26"/>
  <c r="B383" i="26" l="1"/>
  <c r="E383" i="26"/>
  <c r="A384" i="26"/>
  <c r="E384" i="26" l="1"/>
  <c r="B384" i="26"/>
  <c r="A385" i="26"/>
  <c r="B385" i="26" l="1"/>
  <c r="E385" i="26"/>
  <c r="A386" i="26"/>
  <c r="B386" i="26" l="1"/>
  <c r="E386" i="26"/>
  <c r="A387" i="26"/>
  <c r="B387" i="26" l="1"/>
  <c r="E387" i="26"/>
  <c r="A388" i="26"/>
  <c r="E388" i="26" l="1"/>
  <c r="B388" i="26"/>
  <c r="A389" i="26"/>
  <c r="B389" i="26" l="1"/>
  <c r="E389" i="26"/>
  <c r="A390" i="26"/>
  <c r="B390" i="26" l="1"/>
  <c r="E390" i="26"/>
  <c r="A391" i="26"/>
  <c r="B391" i="26" l="1"/>
  <c r="E391" i="26"/>
  <c r="A392" i="26"/>
  <c r="E392" i="26" l="1"/>
  <c r="B392" i="26"/>
  <c r="A393" i="26"/>
  <c r="B393" i="26" l="1"/>
  <c r="E393" i="26"/>
  <c r="A394" i="26"/>
  <c r="B394" i="26" l="1"/>
  <c r="E394" i="26"/>
  <c r="A395" i="26"/>
  <c r="B395" i="26" l="1"/>
  <c r="E395" i="26"/>
  <c r="A396" i="26"/>
  <c r="E396" i="26" l="1"/>
  <c r="B396" i="26"/>
  <c r="A397" i="26"/>
  <c r="B397" i="26" l="1"/>
  <c r="E397" i="26"/>
  <c r="A398" i="26"/>
  <c r="B398" i="26" l="1"/>
  <c r="E398" i="26"/>
  <c r="A399" i="26"/>
  <c r="B399" i="26" l="1"/>
  <c r="E399" i="26"/>
  <c r="A400" i="26"/>
  <c r="E400" i="26" l="1"/>
  <c r="B400" i="26"/>
  <c r="A401" i="26"/>
  <c r="B401" i="26" l="1"/>
  <c r="E401" i="26"/>
  <c r="A402" i="26"/>
  <c r="B402" i="26" l="1"/>
  <c r="E402" i="26"/>
  <c r="A403" i="26"/>
  <c r="B403" i="26" l="1"/>
  <c r="E403" i="26"/>
  <c r="A404" i="26"/>
  <c r="E404" i="26" l="1"/>
  <c r="B404" i="26"/>
  <c r="A405" i="26"/>
  <c r="B405" i="26" l="1"/>
  <c r="E405" i="26"/>
  <c r="A406" i="26"/>
  <c r="B406" i="26" l="1"/>
  <c r="E406" i="26"/>
  <c r="A407" i="26"/>
  <c r="B407" i="26" l="1"/>
  <c r="E407" i="26"/>
  <c r="A408" i="26"/>
  <c r="E408" i="26" l="1"/>
  <c r="B408" i="26"/>
  <c r="A409" i="26"/>
  <c r="B409" i="26" l="1"/>
  <c r="E409" i="26"/>
  <c r="A410" i="26"/>
  <c r="B410" i="26" l="1"/>
  <c r="E410" i="26"/>
  <c r="A411" i="26"/>
  <c r="B411" i="26" l="1"/>
  <c r="E411" i="26"/>
  <c r="A412" i="26"/>
  <c r="E412" i="26" l="1"/>
  <c r="B412" i="26"/>
  <c r="A413" i="26"/>
  <c r="E413" i="26" l="1"/>
  <c r="B413" i="26"/>
  <c r="A414" i="26"/>
  <c r="B414" i="26" l="1"/>
  <c r="E414" i="26"/>
  <c r="A415" i="26"/>
  <c r="B415" i="26" l="1"/>
  <c r="E415" i="26"/>
  <c r="A416" i="26"/>
  <c r="E416" i="26" l="1"/>
  <c r="B416" i="26"/>
  <c r="A417" i="26"/>
  <c r="B417" i="26" l="1"/>
  <c r="E417" i="26"/>
  <c r="A418" i="26"/>
  <c r="B418" i="26" l="1"/>
  <c r="E418" i="26"/>
  <c r="A419" i="26"/>
  <c r="B419" i="26" l="1"/>
  <c r="E419" i="26"/>
  <c r="A420" i="26"/>
  <c r="E420" i="26" l="1"/>
  <c r="B420" i="26"/>
  <c r="A421" i="26"/>
  <c r="B421" i="26" l="1"/>
  <c r="E421" i="26"/>
  <c r="A422" i="26"/>
  <c r="B422" i="26" l="1"/>
  <c r="E422" i="26"/>
  <c r="A423" i="26"/>
  <c r="B423" i="26" l="1"/>
  <c r="E423" i="26"/>
  <c r="A424" i="26"/>
  <c r="E424" i="26" l="1"/>
  <c r="B424" i="26"/>
  <c r="A425" i="26"/>
  <c r="B425" i="26" l="1"/>
  <c r="E425" i="26"/>
  <c r="A426" i="26"/>
  <c r="B426" i="26" l="1"/>
  <c r="E426" i="26"/>
  <c r="A427" i="26"/>
  <c r="B427" i="26" l="1"/>
  <c r="E427" i="26"/>
  <c r="A428" i="26"/>
  <c r="E428" i="26" l="1"/>
  <c r="B428" i="26"/>
  <c r="A429" i="26"/>
  <c r="B429" i="26" l="1"/>
  <c r="E429" i="26"/>
  <c r="A430" i="26"/>
  <c r="B430" i="26" l="1"/>
  <c r="E430" i="26"/>
  <c r="A431" i="26"/>
  <c r="B431" i="26" l="1"/>
  <c r="E431" i="26"/>
  <c r="A432" i="26"/>
  <c r="E432" i="26" l="1"/>
  <c r="B432" i="26"/>
  <c r="A433" i="26"/>
  <c r="B433" i="26" l="1"/>
  <c r="E433" i="26"/>
  <c r="A434" i="26"/>
  <c r="B434" i="26" l="1"/>
  <c r="E434" i="26"/>
  <c r="A435" i="26"/>
  <c r="B435" i="26" l="1"/>
  <c r="E435" i="26"/>
  <c r="A436" i="26"/>
  <c r="E436" i="26" l="1"/>
  <c r="B436" i="26"/>
  <c r="A437" i="26"/>
  <c r="B437" i="26" l="1"/>
  <c r="E437" i="26"/>
  <c r="A438" i="26"/>
  <c r="B438" i="26" l="1"/>
  <c r="E438" i="26"/>
  <c r="A439" i="26"/>
  <c r="B439" i="26" l="1"/>
  <c r="E439" i="26"/>
  <c r="A440" i="26"/>
  <c r="E440" i="26" l="1"/>
  <c r="B440" i="26"/>
  <c r="A441" i="26"/>
  <c r="B441" i="26" l="1"/>
  <c r="E441" i="26"/>
  <c r="A442" i="26"/>
  <c r="B442" i="26" l="1"/>
  <c r="E442" i="26"/>
  <c r="A443" i="26"/>
  <c r="B443" i="26" l="1"/>
  <c r="E443" i="26"/>
  <c r="A444" i="26"/>
  <c r="E444" i="26" l="1"/>
  <c r="B444" i="26"/>
  <c r="A445" i="26"/>
  <c r="E445" i="26" l="1"/>
  <c r="B445" i="26"/>
  <c r="A446" i="26"/>
  <c r="B446" i="26" l="1"/>
  <c r="E446" i="26"/>
  <c r="A447" i="26"/>
  <c r="B447" i="26" l="1"/>
  <c r="E447" i="26"/>
  <c r="A448" i="26"/>
  <c r="E448" i="26" l="1"/>
  <c r="B448" i="26"/>
  <c r="A449" i="26"/>
  <c r="B449" i="26" l="1"/>
  <c r="E449" i="26"/>
  <c r="A450" i="26"/>
  <c r="B450" i="26" l="1"/>
  <c r="E450" i="26"/>
  <c r="A451" i="26"/>
  <c r="B451" i="26" l="1"/>
  <c r="E451" i="26"/>
  <c r="A452" i="26"/>
  <c r="E452" i="26" l="1"/>
  <c r="B452" i="26"/>
  <c r="A453" i="26"/>
  <c r="B453" i="26" l="1"/>
  <c r="E453" i="26"/>
  <c r="A454" i="26"/>
  <c r="B454" i="26" l="1"/>
  <c r="E454" i="26"/>
  <c r="A455" i="26"/>
  <c r="B455" i="26" l="1"/>
  <c r="E455" i="26"/>
  <c r="A456" i="26"/>
  <c r="E456" i="26" l="1"/>
  <c r="B456" i="26"/>
  <c r="A457" i="26"/>
  <c r="B457" i="26" l="1"/>
  <c r="E457" i="26"/>
  <c r="A458" i="26"/>
  <c r="B458" i="26" l="1"/>
  <c r="E458" i="26"/>
  <c r="A459" i="26"/>
  <c r="B459" i="26" l="1"/>
  <c r="E459" i="26"/>
  <c r="A460" i="26"/>
  <c r="E460" i="26" l="1"/>
  <c r="B460" i="26"/>
  <c r="A461" i="26"/>
  <c r="B461" i="26" l="1"/>
  <c r="E461" i="26"/>
  <c r="A462" i="26"/>
  <c r="B462" i="26" l="1"/>
  <c r="E462" i="26"/>
  <c r="A463" i="26"/>
  <c r="B463" i="26" l="1"/>
  <c r="E463" i="26"/>
  <c r="A464" i="26"/>
  <c r="E464" i="26" l="1"/>
  <c r="B464" i="26"/>
  <c r="A465" i="26"/>
  <c r="B465" i="26" l="1"/>
  <c r="E465" i="26"/>
  <c r="A466" i="26"/>
  <c r="B466" i="26" l="1"/>
  <c r="E466" i="26"/>
  <c r="A467" i="26"/>
  <c r="B467" i="26" l="1"/>
  <c r="E467" i="26"/>
  <c r="A468" i="26"/>
  <c r="E468" i="26" l="1"/>
  <c r="B468" i="26"/>
  <c r="A469" i="26"/>
  <c r="B469" i="26" l="1"/>
  <c r="E469" i="26"/>
  <c r="A470" i="26"/>
  <c r="B470" i="26" l="1"/>
  <c r="E470" i="26"/>
  <c r="A471" i="26"/>
  <c r="B471" i="26" l="1"/>
  <c r="E471" i="26"/>
  <c r="A472" i="26"/>
  <c r="E472" i="26" l="1"/>
  <c r="B472" i="26"/>
  <c r="A473" i="26"/>
  <c r="B473" i="26" l="1"/>
  <c r="E473" i="26"/>
  <c r="A474" i="26"/>
  <c r="B474" i="26" l="1"/>
  <c r="E474" i="26"/>
  <c r="A475" i="26"/>
  <c r="B475" i="26" l="1"/>
  <c r="E475" i="26"/>
  <c r="A476" i="26"/>
  <c r="E476" i="26" l="1"/>
  <c r="B476" i="26"/>
  <c r="A477" i="26"/>
  <c r="E477" i="26" l="1"/>
  <c r="B477" i="26"/>
  <c r="A478" i="26"/>
  <c r="B478" i="26" l="1"/>
  <c r="E478" i="26"/>
  <c r="A479" i="26"/>
  <c r="B479" i="26" l="1"/>
  <c r="E479" i="26"/>
  <c r="A480" i="26"/>
  <c r="E480" i="26" l="1"/>
  <c r="B480" i="26"/>
  <c r="A481" i="26"/>
  <c r="E481" i="26" l="1"/>
  <c r="B481" i="26"/>
  <c r="A482" i="26"/>
  <c r="B482" i="26" l="1"/>
  <c r="E482" i="26"/>
  <c r="A483" i="26"/>
  <c r="B483" i="26" l="1"/>
  <c r="E483" i="26"/>
  <c r="A484" i="26"/>
  <c r="E484" i="26" l="1"/>
  <c r="B484" i="26"/>
  <c r="A485" i="26"/>
  <c r="B485" i="26" l="1"/>
  <c r="E485" i="26"/>
  <c r="A486" i="26"/>
  <c r="B486" i="26" l="1"/>
  <c r="E486" i="26"/>
  <c r="A487" i="26"/>
  <c r="B487" i="26" l="1"/>
  <c r="E487" i="26"/>
  <c r="A488" i="26"/>
  <c r="E488" i="26" l="1"/>
  <c r="B488" i="26"/>
  <c r="A489" i="26"/>
  <c r="B489" i="26" l="1"/>
  <c r="E489" i="26"/>
  <c r="A490" i="26"/>
  <c r="E490" i="26" l="1"/>
  <c r="B490" i="26"/>
  <c r="A491" i="26"/>
  <c r="B491" i="26" l="1"/>
  <c r="E491" i="26"/>
  <c r="A492" i="26"/>
  <c r="E492" i="26" l="1"/>
  <c r="B492" i="26"/>
  <c r="A493" i="26"/>
  <c r="B493" i="26" l="1"/>
  <c r="E493" i="26"/>
  <c r="A494" i="26"/>
  <c r="B494" i="26" l="1"/>
  <c r="E494" i="26"/>
  <c r="A495" i="26"/>
  <c r="B495" i="26" l="1"/>
  <c r="E495" i="26"/>
  <c r="A496" i="26"/>
  <c r="E496" i="26" l="1"/>
  <c r="B496" i="26"/>
  <c r="A497" i="26"/>
  <c r="E497" i="26" l="1"/>
  <c r="B497" i="26"/>
  <c r="A498" i="26"/>
  <c r="B498" i="26" l="1"/>
  <c r="E498" i="26"/>
  <c r="A499" i="26"/>
  <c r="B499" i="26" l="1"/>
  <c r="E499" i="26"/>
  <c r="A500" i="26"/>
  <c r="E500" i="26" l="1"/>
  <c r="B500" i="26"/>
  <c r="A501" i="26"/>
  <c r="B501" i="26" l="1"/>
  <c r="E501" i="26"/>
  <c r="A502" i="26"/>
  <c r="B502" i="26" l="1"/>
  <c r="E502" i="26"/>
  <c r="A503" i="26"/>
  <c r="B503" i="26" l="1"/>
  <c r="E503" i="26"/>
  <c r="A504" i="26"/>
  <c r="E504" i="26" l="1"/>
  <c r="B504" i="26"/>
  <c r="A505" i="26"/>
  <c r="B505" i="26" l="1"/>
  <c r="E505" i="26"/>
  <c r="A506" i="26"/>
  <c r="E506" i="26" l="1"/>
  <c r="B506" i="26"/>
  <c r="A507" i="26"/>
  <c r="B507" i="26" l="1"/>
  <c r="E507" i="26"/>
  <c r="A508" i="26"/>
  <c r="E508" i="26" l="1"/>
  <c r="B508" i="26"/>
  <c r="A509" i="26"/>
  <c r="B509" i="26" l="1"/>
  <c r="E509" i="26"/>
  <c r="A510" i="26"/>
  <c r="B510" i="26" l="1"/>
  <c r="E510" i="26"/>
  <c r="A511" i="26"/>
  <c r="B511" i="26" l="1"/>
  <c r="E511" i="26"/>
  <c r="A512" i="26"/>
  <c r="E512" i="26" l="1"/>
  <c r="B512" i="26"/>
  <c r="A513" i="26"/>
  <c r="E513" i="26" l="1"/>
  <c r="B513" i="26"/>
  <c r="A514" i="26"/>
  <c r="B514" i="26" l="1"/>
  <c r="E514" i="26"/>
  <c r="A515" i="26"/>
  <c r="B515" i="26" l="1"/>
  <c r="E515" i="26"/>
  <c r="A516" i="26"/>
  <c r="E516" i="26" l="1"/>
  <c r="B516" i="26"/>
  <c r="A517" i="26"/>
  <c r="B517" i="26" l="1"/>
  <c r="E517" i="26"/>
  <c r="A518" i="26"/>
  <c r="B518" i="26" l="1"/>
  <c r="E518" i="26"/>
  <c r="A519" i="26"/>
  <c r="B519" i="26" l="1"/>
  <c r="E519" i="26"/>
  <c r="A520" i="26"/>
  <c r="E520" i="26" l="1"/>
  <c r="B520" i="26"/>
  <c r="A521" i="26"/>
  <c r="B521" i="26" l="1"/>
  <c r="E521" i="26"/>
  <c r="A522" i="26"/>
  <c r="E522" i="26" l="1"/>
  <c r="B522" i="26"/>
  <c r="A523" i="26"/>
  <c r="B523" i="26" l="1"/>
  <c r="E523" i="26"/>
  <c r="A524" i="26"/>
  <c r="E524" i="26" l="1"/>
  <c r="B524" i="26"/>
  <c r="A525" i="26"/>
  <c r="B525" i="26" l="1"/>
  <c r="E525" i="26"/>
  <c r="A526" i="26"/>
  <c r="B526" i="26" l="1"/>
  <c r="E526" i="26"/>
  <c r="A527" i="26"/>
  <c r="B527" i="26" l="1"/>
  <c r="E527" i="26"/>
  <c r="A528" i="26"/>
  <c r="E528" i="26" l="1"/>
  <c r="B528" i="26"/>
  <c r="A529" i="26"/>
  <c r="E529" i="26" l="1"/>
  <c r="B529" i="26"/>
  <c r="A530" i="26"/>
  <c r="B530" i="26" l="1"/>
  <c r="E530" i="26"/>
  <c r="A531" i="26"/>
  <c r="B531" i="26" l="1"/>
  <c r="E531" i="26"/>
  <c r="A532" i="26"/>
  <c r="E532" i="26" l="1"/>
  <c r="B532" i="26"/>
  <c r="A533" i="26"/>
  <c r="B533" i="26" l="1"/>
  <c r="E533" i="26"/>
  <c r="A534" i="26"/>
  <c r="B534" i="26" l="1"/>
  <c r="E534" i="26"/>
  <c r="A535" i="26"/>
  <c r="B535" i="26" l="1"/>
  <c r="E535" i="26"/>
  <c r="A536" i="26"/>
  <c r="E536" i="26" l="1"/>
  <c r="B536" i="26"/>
  <c r="A537" i="26"/>
  <c r="B537" i="26" l="1"/>
  <c r="E537" i="26"/>
  <c r="A538" i="26"/>
  <c r="E538" i="26" l="1"/>
  <c r="B538" i="26"/>
  <c r="A539" i="26"/>
  <c r="B539" i="26" l="1"/>
  <c r="E539" i="26"/>
  <c r="A540" i="26"/>
  <c r="B540" i="26" l="1"/>
  <c r="E540" i="26"/>
  <c r="A541" i="26"/>
  <c r="B541" i="26" l="1"/>
  <c r="E541" i="26"/>
  <c r="A542" i="26"/>
  <c r="E542" i="26" l="1"/>
  <c r="B542" i="26"/>
  <c r="A543" i="26"/>
  <c r="B543" i="26" l="1"/>
  <c r="E543" i="26"/>
  <c r="A544" i="26"/>
  <c r="B544" i="26" l="1"/>
  <c r="E544" i="26"/>
  <c r="A545" i="26"/>
  <c r="B545" i="26" l="1"/>
  <c r="E545" i="26"/>
  <c r="A546" i="26"/>
  <c r="E546" i="26" l="1"/>
  <c r="B546" i="26"/>
  <c r="A547" i="26"/>
  <c r="B547" i="26" l="1"/>
  <c r="E547" i="26"/>
  <c r="A548" i="26"/>
  <c r="B548" i="26" l="1"/>
  <c r="E548" i="26"/>
  <c r="A549" i="26"/>
  <c r="B549" i="26" l="1"/>
  <c r="E549" i="26"/>
  <c r="A550" i="26"/>
  <c r="E550" i="26" l="1"/>
  <c r="B550" i="26"/>
  <c r="A551" i="26"/>
  <c r="E551" i="26" l="1"/>
  <c r="B551" i="26"/>
  <c r="A552" i="26"/>
  <c r="B552" i="26" l="1"/>
  <c r="E552" i="26"/>
  <c r="A553" i="26"/>
  <c r="B553" i="26" l="1"/>
  <c r="E553" i="26"/>
  <c r="A554" i="26"/>
  <c r="E554" i="26" l="1"/>
  <c r="B554" i="26"/>
  <c r="A555" i="26"/>
  <c r="B555" i="26" l="1"/>
  <c r="E555" i="26"/>
  <c r="A556" i="26"/>
  <c r="B556" i="26" l="1"/>
  <c r="E556" i="26"/>
  <c r="A557" i="26"/>
  <c r="B557" i="26" l="1"/>
  <c r="E557" i="26"/>
  <c r="A558" i="26"/>
  <c r="E558" i="26" l="1"/>
  <c r="B558" i="26"/>
  <c r="A559" i="26"/>
  <c r="B559" i="26" l="1"/>
  <c r="E559" i="26"/>
  <c r="A560" i="26"/>
  <c r="B560" i="26" l="1"/>
  <c r="E560" i="26"/>
  <c r="A561" i="26"/>
  <c r="B561" i="26" l="1"/>
  <c r="E561" i="26"/>
  <c r="A562" i="26"/>
  <c r="E562" i="26" l="1"/>
  <c r="B562" i="26"/>
  <c r="A563" i="26"/>
  <c r="B563" i="26" l="1"/>
  <c r="E563" i="26"/>
  <c r="A564" i="26"/>
  <c r="B564" i="26" l="1"/>
  <c r="E564" i="26"/>
  <c r="A565" i="26"/>
  <c r="B565" i="26" l="1"/>
  <c r="E565" i="26"/>
  <c r="A566" i="26"/>
  <c r="E566" i="26" l="1"/>
  <c r="B566" i="26"/>
  <c r="A567" i="26"/>
  <c r="E567" i="26" l="1"/>
  <c r="B567" i="26"/>
  <c r="A568" i="26"/>
  <c r="B568" i="26" l="1"/>
  <c r="E568" i="26"/>
  <c r="A569" i="26"/>
  <c r="B569" i="26" l="1"/>
  <c r="E569" i="26"/>
  <c r="A570" i="26"/>
  <c r="E570" i="26" l="1"/>
  <c r="B570" i="26"/>
  <c r="A571" i="26"/>
  <c r="B571" i="26" l="1"/>
  <c r="E571" i="26"/>
  <c r="A572" i="26"/>
  <c r="B572" i="26" l="1"/>
  <c r="E572" i="26"/>
  <c r="A573" i="26"/>
  <c r="B573" i="26" l="1"/>
  <c r="E573" i="26"/>
  <c r="A574" i="26"/>
  <c r="E574" i="26" l="1"/>
  <c r="B574" i="26"/>
  <c r="A575" i="26"/>
  <c r="B575" i="26" l="1"/>
  <c r="E575" i="26"/>
  <c r="A576" i="26"/>
  <c r="B576" i="26" l="1"/>
  <c r="E576" i="26"/>
  <c r="A577" i="26"/>
  <c r="E577" i="26" l="1"/>
  <c r="B577" i="26"/>
  <c r="A578" i="26"/>
  <c r="B578" i="26" l="1"/>
  <c r="E578" i="26"/>
  <c r="A579" i="26"/>
  <c r="E579" i="26" l="1"/>
  <c r="B579" i="26"/>
  <c r="A580" i="26"/>
  <c r="B580" i="26" l="1"/>
  <c r="E580" i="26"/>
  <c r="A581" i="26"/>
  <c r="E581" i="26" l="1"/>
  <c r="B581" i="26"/>
  <c r="A582" i="26"/>
  <c r="B582" i="26" l="1"/>
  <c r="E582" i="26"/>
  <c r="A583" i="26"/>
  <c r="E583" i="26" l="1"/>
  <c r="B583" i="26"/>
  <c r="A584" i="26"/>
  <c r="B584" i="26" l="1"/>
  <c r="E584" i="26"/>
  <c r="A585" i="26"/>
  <c r="E585" i="26" l="1"/>
  <c r="B585" i="26"/>
  <c r="A586" i="26"/>
  <c r="E586" i="26" l="1"/>
  <c r="B586" i="26"/>
  <c r="A587" i="26"/>
  <c r="B587" i="26" l="1"/>
  <c r="E587" i="26"/>
  <c r="A588" i="26"/>
  <c r="B588" i="26" l="1"/>
  <c r="E588" i="26"/>
  <c r="A589" i="26"/>
  <c r="E589" i="26" l="1"/>
  <c r="B589" i="26"/>
  <c r="A590" i="26"/>
  <c r="E590" i="26" l="1"/>
  <c r="B590" i="26"/>
  <c r="A591" i="26"/>
  <c r="E591" i="26" l="1"/>
  <c r="B591" i="26"/>
  <c r="A592" i="26"/>
  <c r="B592" i="26" l="1"/>
  <c r="E592" i="26"/>
  <c r="A593" i="26"/>
  <c r="E593" i="26" l="1"/>
  <c r="B593" i="26"/>
  <c r="A594" i="26"/>
  <c r="B594" i="26" l="1"/>
  <c r="E594" i="26"/>
  <c r="A595" i="26"/>
  <c r="B595" i="26" l="1"/>
  <c r="E595" i="26"/>
  <c r="A596" i="26"/>
  <c r="B596" i="26" l="1"/>
  <c r="E596" i="26"/>
  <c r="A597" i="26"/>
  <c r="E597" i="26" l="1"/>
  <c r="B597" i="26"/>
  <c r="A598" i="26"/>
  <c r="E598" i="26" l="1"/>
  <c r="B598" i="26"/>
  <c r="A599" i="26"/>
  <c r="E599" i="26" l="1"/>
  <c r="B599" i="26"/>
  <c r="A600" i="26"/>
  <c r="B600" i="26" l="1"/>
  <c r="E600" i="26"/>
  <c r="A601" i="26"/>
  <c r="E601" i="26" l="1"/>
  <c r="B601" i="26"/>
  <c r="A602" i="26"/>
  <c r="B602" i="26" l="1"/>
  <c r="E602" i="26"/>
  <c r="A603" i="26"/>
  <c r="B603" i="26" l="1"/>
  <c r="E603" i="26"/>
  <c r="A604" i="26"/>
  <c r="B604" i="26" l="1"/>
  <c r="E604" i="26"/>
  <c r="A605" i="26"/>
  <c r="E605" i="26" l="1"/>
  <c r="B605" i="26"/>
  <c r="A606" i="26"/>
  <c r="E606" i="26" l="1"/>
  <c r="B606" i="26"/>
  <c r="A607" i="26"/>
  <c r="E607" i="26" l="1"/>
  <c r="B607" i="26"/>
  <c r="A608" i="26"/>
  <c r="B608" i="26" l="1"/>
  <c r="E608" i="26"/>
  <c r="A609" i="26"/>
  <c r="E609" i="26" l="1"/>
  <c r="B609" i="26"/>
  <c r="A610" i="26"/>
  <c r="B610" i="26" l="1"/>
  <c r="E610" i="26"/>
  <c r="A611" i="26"/>
  <c r="B611" i="26" l="1"/>
  <c r="E611" i="26"/>
  <c r="A612" i="26"/>
  <c r="B612" i="26" l="1"/>
  <c r="E612" i="26"/>
  <c r="A613" i="26"/>
  <c r="E613" i="26" l="1"/>
  <c r="B613" i="26"/>
  <c r="A614" i="26"/>
  <c r="E614" i="26" l="1"/>
  <c r="B614" i="26"/>
  <c r="A615" i="26"/>
  <c r="E615" i="26" l="1"/>
  <c r="B615" i="26"/>
  <c r="A616" i="26"/>
  <c r="B616" i="26" l="1"/>
  <c r="E616" i="26"/>
  <c r="A617" i="26"/>
  <c r="E617" i="26" l="1"/>
  <c r="B617" i="26"/>
  <c r="A618" i="26"/>
  <c r="B618" i="26" l="1"/>
  <c r="E618" i="26"/>
  <c r="A619" i="26"/>
  <c r="B619" i="26" l="1"/>
  <c r="E619" i="26"/>
  <c r="A620" i="26"/>
  <c r="B620" i="26" l="1"/>
  <c r="E620" i="26"/>
  <c r="A621" i="26"/>
  <c r="E621" i="26" l="1"/>
  <c r="B621" i="26"/>
  <c r="A622" i="26"/>
  <c r="E622" i="26" l="1"/>
  <c r="B622" i="26"/>
  <c r="A623" i="26"/>
  <c r="E623" i="26" l="1"/>
  <c r="B623" i="26"/>
  <c r="A624" i="26"/>
  <c r="B624" i="26" l="1"/>
  <c r="E624" i="26"/>
  <c r="A625" i="26"/>
  <c r="E625" i="26" l="1"/>
  <c r="B625" i="26"/>
  <c r="A626" i="26"/>
  <c r="B626" i="26" l="1"/>
  <c r="E626" i="26"/>
  <c r="A627" i="26"/>
  <c r="B627" i="26" l="1"/>
  <c r="E627" i="26"/>
  <c r="A628" i="26"/>
  <c r="B628" i="26" l="1"/>
  <c r="E628" i="26"/>
  <c r="A629" i="26"/>
  <c r="E629" i="26" l="1"/>
  <c r="B629" i="26"/>
  <c r="A630" i="26"/>
  <c r="E630" i="26" l="1"/>
  <c r="B630" i="26"/>
  <c r="A631" i="26"/>
  <c r="E631" i="26" l="1"/>
  <c r="B631" i="26"/>
  <c r="A632" i="26"/>
  <c r="B632" i="26" l="1"/>
  <c r="E632" i="26"/>
  <c r="A633" i="26"/>
  <c r="E633" i="26" l="1"/>
  <c r="B633" i="26"/>
  <c r="A634" i="26"/>
  <c r="B634" i="26" l="1"/>
  <c r="E634" i="26"/>
  <c r="A635" i="26"/>
  <c r="B635" i="26" l="1"/>
  <c r="E635" i="26"/>
  <c r="A636" i="26"/>
  <c r="B636" i="26" l="1"/>
  <c r="E636" i="26"/>
  <c r="A637" i="26"/>
  <c r="B637" i="26" l="1"/>
  <c r="E637" i="26"/>
  <c r="A638" i="26"/>
  <c r="B638" i="26" l="1"/>
  <c r="E638" i="26"/>
  <c r="A639" i="26"/>
  <c r="E639" i="26" l="1"/>
  <c r="B639" i="26"/>
  <c r="A640" i="26"/>
  <c r="B640" i="26" l="1"/>
  <c r="E640" i="26"/>
  <c r="A641" i="26"/>
  <c r="E641" i="26" l="1"/>
  <c r="B641" i="26"/>
  <c r="A642" i="26"/>
  <c r="B642" i="26" l="1"/>
  <c r="E642" i="26"/>
  <c r="A643" i="26"/>
  <c r="E643" i="26" l="1"/>
  <c r="B643" i="26"/>
  <c r="A644" i="26"/>
  <c r="B644" i="26" l="1"/>
  <c r="E644" i="26"/>
  <c r="A645" i="26"/>
  <c r="E645" i="26" l="1"/>
  <c r="B645" i="26"/>
  <c r="A646" i="26"/>
  <c r="B646" i="26" l="1"/>
  <c r="E646" i="26"/>
  <c r="A647" i="26"/>
  <c r="E647" i="26" l="1"/>
  <c r="B647" i="26"/>
  <c r="A648" i="26"/>
  <c r="B648" i="26" l="1"/>
  <c r="E648" i="26"/>
  <c r="A649" i="26"/>
  <c r="B649" i="26" l="1"/>
  <c r="E649" i="26"/>
  <c r="A650" i="26"/>
  <c r="B650" i="26" l="1"/>
  <c r="E650" i="26"/>
  <c r="A651" i="26"/>
  <c r="E651" i="26" l="1"/>
  <c r="B651" i="26"/>
  <c r="A652" i="26"/>
  <c r="B652" i="26" l="1"/>
  <c r="E652" i="26"/>
  <c r="A653" i="26"/>
  <c r="E653" i="26" l="1"/>
  <c r="B653" i="26"/>
  <c r="A654" i="26"/>
  <c r="B654" i="26" l="1"/>
  <c r="E654" i="26"/>
  <c r="A655" i="26"/>
  <c r="E655" i="26" l="1"/>
  <c r="B655" i="26"/>
  <c r="A656" i="26"/>
  <c r="E656" i="26" l="1"/>
  <c r="B656" i="26"/>
  <c r="A657" i="26"/>
  <c r="B657" i="26" l="1"/>
  <c r="E657" i="26"/>
  <c r="A658" i="26"/>
  <c r="B658" i="26" l="1"/>
  <c r="E658" i="26"/>
  <c r="A659" i="26"/>
  <c r="E659" i="26" l="1"/>
  <c r="B659" i="26"/>
  <c r="A660" i="26"/>
  <c r="B660" i="26" l="1"/>
  <c r="E660" i="26"/>
  <c r="A661" i="26"/>
  <c r="E661" i="26" l="1"/>
  <c r="B661" i="26"/>
  <c r="A662" i="26"/>
  <c r="B662" i="26" l="1"/>
  <c r="E662" i="26"/>
  <c r="A663" i="26"/>
  <c r="E663" i="26" l="1"/>
  <c r="B663" i="26"/>
  <c r="A664" i="26"/>
  <c r="B664" i="26" l="1"/>
  <c r="E664" i="26"/>
  <c r="A665" i="26"/>
  <c r="B665" i="26" l="1"/>
  <c r="E665" i="26"/>
  <c r="A666" i="26"/>
  <c r="B666" i="26" l="1"/>
  <c r="E666" i="26"/>
  <c r="A667" i="26"/>
  <c r="E667" i="26" l="1"/>
  <c r="B667" i="26"/>
  <c r="A668" i="26"/>
  <c r="B668" i="26" l="1"/>
  <c r="E668" i="26"/>
  <c r="A669" i="26"/>
  <c r="E669" i="26" l="1"/>
  <c r="B669" i="26"/>
  <c r="A670" i="26"/>
  <c r="B670" i="26" l="1"/>
  <c r="E670" i="26"/>
  <c r="A671" i="26"/>
  <c r="E671" i="26" l="1"/>
  <c r="B671" i="26"/>
  <c r="A672" i="26"/>
  <c r="B672" i="26" l="1"/>
  <c r="E672" i="26"/>
  <c r="A673" i="26"/>
  <c r="B673" i="26" l="1"/>
  <c r="E673" i="26"/>
  <c r="A674" i="26"/>
  <c r="B674" i="26" l="1"/>
  <c r="E674" i="26"/>
  <c r="A675" i="26"/>
  <c r="E675" i="26" l="1"/>
  <c r="B675" i="26"/>
  <c r="A676" i="26"/>
  <c r="B676" i="26" l="1"/>
  <c r="E676" i="26"/>
  <c r="A677" i="26"/>
  <c r="E677" i="26" l="1"/>
  <c r="B677" i="26"/>
  <c r="A678" i="26"/>
  <c r="B678" i="26" l="1"/>
  <c r="E678" i="26"/>
  <c r="A679" i="26"/>
  <c r="E679" i="26" l="1"/>
  <c r="B679" i="26"/>
  <c r="A680" i="26"/>
  <c r="E680" i="26" l="1"/>
  <c r="B680" i="26"/>
  <c r="A681" i="26"/>
  <c r="B681" i="26" l="1"/>
  <c r="E681" i="26"/>
  <c r="A682" i="26"/>
  <c r="B682" i="26" l="1"/>
  <c r="E682" i="26"/>
  <c r="A683" i="26"/>
  <c r="E683" i="26" l="1"/>
  <c r="B683" i="26"/>
  <c r="A684" i="26"/>
  <c r="B684" i="26" l="1"/>
  <c r="E684" i="26"/>
  <c r="A685" i="26"/>
  <c r="E685" i="26" l="1"/>
  <c r="B685" i="26"/>
  <c r="A686" i="26"/>
  <c r="B686" i="26" l="1"/>
  <c r="E686" i="26"/>
  <c r="A687" i="26"/>
  <c r="E687" i="26" l="1"/>
  <c r="B687" i="26"/>
  <c r="A688" i="26"/>
  <c r="B688" i="26" l="1"/>
  <c r="E688" i="26"/>
  <c r="A689" i="26"/>
  <c r="B689" i="26" l="1"/>
  <c r="E689" i="26"/>
  <c r="A690" i="26"/>
  <c r="B690" i="26" l="1"/>
  <c r="E690" i="26"/>
  <c r="A691" i="26"/>
  <c r="E691" i="26" l="1"/>
  <c r="B691" i="26"/>
  <c r="A692" i="26"/>
  <c r="B692" i="26" l="1"/>
  <c r="E692" i="26"/>
  <c r="A693" i="26"/>
  <c r="E693" i="26" l="1"/>
  <c r="B693" i="26"/>
  <c r="A694" i="26"/>
  <c r="B694" i="26" l="1"/>
  <c r="E694" i="26"/>
  <c r="A695" i="26"/>
  <c r="E695" i="26" l="1"/>
  <c r="B695" i="26"/>
  <c r="A696" i="26"/>
  <c r="E696" i="26" l="1"/>
  <c r="B696" i="26"/>
  <c r="A697" i="26"/>
  <c r="B697" i="26" l="1"/>
  <c r="E697" i="26"/>
  <c r="A698" i="26"/>
  <c r="B698" i="26" l="1"/>
  <c r="E698" i="26"/>
  <c r="A699" i="26"/>
  <c r="E699" i="26" l="1"/>
  <c r="B699" i="26"/>
  <c r="A700" i="26"/>
  <c r="B700" i="26" l="1"/>
  <c r="E700" i="26"/>
  <c r="A701" i="26"/>
  <c r="E701" i="26" l="1"/>
  <c r="B701" i="26"/>
  <c r="A702" i="26"/>
  <c r="B702" i="26" l="1"/>
  <c r="E702" i="26"/>
  <c r="A703" i="26"/>
  <c r="E703" i="26" l="1"/>
  <c r="B703" i="26"/>
  <c r="A704" i="26"/>
  <c r="E704" i="26" l="1"/>
  <c r="B704" i="26"/>
  <c r="A705" i="26"/>
  <c r="B705" i="26" l="1"/>
  <c r="E705" i="26"/>
  <c r="A706" i="26"/>
  <c r="AI110" i="34" l="1"/>
  <c r="AI84" i="31"/>
  <c r="AI101" i="33"/>
  <c r="AI91" i="32"/>
  <c r="AI80" i="33"/>
  <c r="AI65" i="31"/>
  <c r="AI88" i="32"/>
  <c r="AI64" i="31"/>
  <c r="AI66" i="33"/>
  <c r="AI82" i="31"/>
  <c r="AI67" i="33"/>
  <c r="AI107" i="31"/>
  <c r="AI84" i="34"/>
  <c r="AI110" i="32"/>
  <c r="AI73" i="32"/>
  <c r="AI94" i="34"/>
  <c r="AI65" i="34"/>
  <c r="AI101" i="22"/>
  <c r="AI90" i="34"/>
  <c r="AI87" i="32"/>
  <c r="AI88" i="33"/>
  <c r="AI95" i="31"/>
  <c r="AI98" i="34"/>
  <c r="AI68" i="34"/>
  <c r="AI93" i="34"/>
  <c r="AI103" i="31"/>
  <c r="AI84" i="22"/>
  <c r="AI97" i="34"/>
  <c r="AI86" i="31"/>
  <c r="AI103" i="34"/>
  <c r="AI77" i="32"/>
  <c r="AI80" i="22"/>
  <c r="AI102" i="32"/>
  <c r="AI110" i="22"/>
  <c r="AI94" i="31"/>
  <c r="AI80" i="31"/>
  <c r="AI72" i="32"/>
  <c r="AI100" i="34"/>
  <c r="AI86" i="33"/>
  <c r="AI74" i="33"/>
  <c r="AI106" i="22"/>
  <c r="AI105" i="32"/>
  <c r="AI87" i="22"/>
  <c r="AI87" i="33"/>
  <c r="AI98" i="22"/>
  <c r="AI107" i="22"/>
  <c r="AI73" i="22"/>
  <c r="AI92" i="22"/>
  <c r="AI94" i="33"/>
  <c r="AI76" i="31"/>
  <c r="AI83" i="34"/>
  <c r="AI65" i="22"/>
  <c r="AI92" i="33"/>
  <c r="AI70" i="33"/>
  <c r="AI98" i="33"/>
  <c r="AI103" i="33"/>
  <c r="AI92" i="31"/>
  <c r="AI76" i="33"/>
  <c r="AI84" i="33"/>
  <c r="AI78" i="22"/>
  <c r="AI67" i="31"/>
  <c r="AI64" i="34"/>
  <c r="AI88" i="22"/>
  <c r="AI65" i="33"/>
  <c r="AI66" i="31"/>
  <c r="AI79" i="32"/>
  <c r="AI92" i="34"/>
  <c r="AI78" i="34"/>
  <c r="AI105" i="33"/>
  <c r="AI95" i="34"/>
  <c r="AI85" i="22"/>
  <c r="AI83" i="33"/>
  <c r="AI96" i="22"/>
  <c r="AI67" i="32"/>
  <c r="AI74" i="31"/>
  <c r="AI79" i="33"/>
  <c r="AI102" i="22"/>
  <c r="AI72" i="22"/>
  <c r="AI107" i="32"/>
  <c r="AI97" i="22"/>
  <c r="AI82" i="32"/>
  <c r="AI91" i="34"/>
  <c r="AI77" i="34"/>
  <c r="AI64" i="22"/>
  <c r="AI99" i="32"/>
  <c r="AI70" i="32"/>
  <c r="AI87" i="31"/>
  <c r="AI83" i="22"/>
  <c r="AI99" i="34"/>
  <c r="AI69" i="31"/>
  <c r="AI80" i="34"/>
  <c r="AI86" i="22"/>
  <c r="AI105" i="22"/>
  <c r="AI77" i="22"/>
  <c r="AI73" i="33"/>
  <c r="AI106" i="32"/>
  <c r="AI64" i="33"/>
  <c r="AI73" i="31"/>
  <c r="AI78" i="33"/>
  <c r="AI72" i="31"/>
  <c r="AI108" i="32"/>
  <c r="AI101" i="34"/>
  <c r="AI74" i="32"/>
  <c r="AI99" i="33"/>
  <c r="AI100" i="31"/>
  <c r="AI64" i="32"/>
  <c r="AI93" i="32"/>
  <c r="AI96" i="33"/>
  <c r="AI89" i="33"/>
  <c r="AI81" i="22"/>
  <c r="AI71" i="33"/>
  <c r="AI102" i="31"/>
  <c r="AI109" i="22"/>
  <c r="AI80" i="32"/>
  <c r="AI89" i="34"/>
  <c r="AI75" i="34"/>
  <c r="AI71" i="22"/>
  <c r="AI90" i="22"/>
  <c r="AI109" i="31"/>
  <c r="AI101" i="32"/>
  <c r="AI92" i="32"/>
  <c r="AI67" i="22"/>
  <c r="AI83" i="32"/>
  <c r="AI109" i="32"/>
  <c r="AI107" i="33"/>
  <c r="AI103" i="22"/>
  <c r="AI85" i="34"/>
  <c r="AI104" i="34"/>
  <c r="AI81" i="33"/>
  <c r="AI106" i="33"/>
  <c r="AI70" i="31"/>
  <c r="AI91" i="22"/>
  <c r="AI87" i="34"/>
  <c r="AI108" i="34"/>
  <c r="AI100" i="32"/>
  <c r="AI86" i="32"/>
  <c r="AI86" i="34"/>
  <c r="AI69" i="32"/>
  <c r="AI71" i="34"/>
  <c r="AI85" i="32"/>
  <c r="AI69" i="22"/>
  <c r="AI105" i="31"/>
  <c r="AI69" i="33"/>
  <c r="AI71" i="31"/>
  <c r="AI82" i="34"/>
  <c r="AI88" i="31"/>
  <c r="AI107" i="34"/>
  <c r="AI105" i="34"/>
  <c r="AI101" i="31"/>
  <c r="AI68" i="33"/>
  <c r="AI110" i="31"/>
  <c r="AI79" i="22"/>
  <c r="AI74" i="22"/>
  <c r="AI104" i="22"/>
  <c r="AI65" i="32"/>
  <c r="AI71" i="32"/>
  <c r="AI89" i="31"/>
  <c r="AI76" i="32"/>
  <c r="AI76" i="22"/>
  <c r="AI76" i="34"/>
  <c r="AI104" i="32"/>
  <c r="AI67" i="34"/>
  <c r="AI98" i="32"/>
  <c r="AI96" i="32"/>
  <c r="AI75" i="32"/>
  <c r="AI89" i="22"/>
  <c r="AI94" i="32"/>
  <c r="AI78" i="32"/>
  <c r="AI103" i="32"/>
  <c r="AI102" i="33"/>
  <c r="AI109" i="33"/>
  <c r="AI68" i="32"/>
  <c r="AI100" i="33"/>
  <c r="AI73" i="34"/>
  <c r="AI69" i="34"/>
  <c r="AI68" i="22"/>
  <c r="AI70" i="34"/>
  <c r="AI96" i="34"/>
  <c r="AI85" i="31"/>
  <c r="AI97" i="33"/>
  <c r="AI93" i="22"/>
  <c r="AI95" i="33"/>
  <c r="AI77" i="33"/>
  <c r="AI104" i="33"/>
  <c r="AI85" i="33"/>
  <c r="AI82" i="22"/>
  <c r="AI104" i="31"/>
  <c r="AI102" i="34"/>
  <c r="AI88" i="34"/>
  <c r="AI95" i="32"/>
  <c r="AI97" i="32"/>
  <c r="AI90" i="31"/>
  <c r="AI109" i="34"/>
  <c r="AI75" i="22"/>
  <c r="AI89" i="32"/>
  <c r="AI106" i="31"/>
  <c r="AI72" i="33"/>
  <c r="AI108" i="33"/>
  <c r="AI98" i="31"/>
  <c r="AI66" i="32"/>
  <c r="AI81" i="32"/>
  <c r="AI79" i="34"/>
  <c r="AI75" i="33"/>
  <c r="AI75" i="31"/>
  <c r="AI81" i="34"/>
  <c r="AI66" i="22"/>
  <c r="AI106" i="34"/>
  <c r="AI77" i="31"/>
  <c r="AI96" i="31"/>
  <c r="AI70" i="22"/>
  <c r="AI99" i="22"/>
  <c r="AI94" i="22"/>
  <c r="AI90" i="32"/>
  <c r="AI97" i="31"/>
  <c r="AI99" i="31"/>
  <c r="AI100" i="22"/>
  <c r="AI91" i="31"/>
  <c r="AI108" i="22"/>
  <c r="AI82" i="33"/>
  <c r="AI93" i="31"/>
  <c r="AI81" i="31"/>
  <c r="AI79" i="31"/>
  <c r="AI90" i="33"/>
  <c r="AI72" i="34"/>
  <c r="AI68" i="31"/>
  <c r="AI66" i="34"/>
  <c r="AI84" i="32"/>
  <c r="AI78" i="31"/>
  <c r="AI95" i="22"/>
  <c r="AI110" i="33"/>
  <c r="AI83" i="31"/>
  <c r="AI91" i="33"/>
  <c r="AI93" i="33"/>
  <c r="AI74" i="34"/>
  <c r="AI108" i="31"/>
  <c r="AI43" i="50"/>
  <c r="AO52" i="46"/>
  <c r="L83" i="2"/>
  <c r="AI65" i="49"/>
  <c r="AO61" i="50"/>
  <c r="AO29" i="51"/>
  <c r="AI16" i="47"/>
  <c r="AO33" i="45"/>
  <c r="AO54" i="53"/>
  <c r="AO41" i="53"/>
  <c r="AI27" i="49"/>
  <c r="AO41" i="52"/>
  <c r="AI110" i="46"/>
  <c r="AI108" i="52"/>
  <c r="AI45" i="48"/>
  <c r="AI26" i="53"/>
  <c r="AO34" i="53"/>
  <c r="AO27" i="47"/>
  <c r="AI18" i="46"/>
  <c r="AI55" i="49"/>
  <c r="AI69" i="52"/>
  <c r="AI77" i="49"/>
  <c r="AI32" i="45"/>
  <c r="AO21" i="48"/>
  <c r="J106" i="2"/>
  <c r="J60" i="2"/>
  <c r="AO55" i="47"/>
  <c r="AI69" i="46"/>
  <c r="AO47" i="49"/>
  <c r="O95" i="2"/>
  <c r="AI26" i="45"/>
  <c r="AI70" i="44"/>
  <c r="L110" i="2"/>
  <c r="AI63" i="44"/>
  <c r="AI81" i="53"/>
  <c r="AO64" i="52"/>
  <c r="AI24" i="49"/>
  <c r="AI92" i="45"/>
  <c r="AI47" i="52"/>
  <c r="J69" i="2"/>
  <c r="AI87" i="53"/>
  <c r="AI52" i="49"/>
  <c r="AO62" i="46"/>
  <c r="AO13" i="44"/>
  <c r="AI110" i="53"/>
  <c r="AI83" i="45"/>
  <c r="AO31" i="49"/>
  <c r="AO53" i="53"/>
  <c r="N100" i="2"/>
  <c r="AI44" i="50"/>
  <c r="AO62" i="52"/>
  <c r="AI73" i="45"/>
  <c r="AO63" i="50"/>
  <c r="AI22" i="46"/>
  <c r="N64" i="2"/>
  <c r="AI12" i="50"/>
  <c r="AI12" i="49"/>
  <c r="AI36" i="48"/>
  <c r="AO27" i="52"/>
  <c r="AO26" i="45"/>
  <c r="AO31" i="51"/>
  <c r="N74" i="2"/>
  <c r="AI38" i="48"/>
  <c r="AI56" i="48"/>
  <c r="AI39" i="51"/>
  <c r="AO34" i="49"/>
  <c r="AI104" i="46"/>
  <c r="AI77" i="44"/>
  <c r="AO58" i="47"/>
  <c r="AI72" i="51"/>
  <c r="L90" i="2"/>
  <c r="AI78" i="52"/>
  <c r="AI72" i="52"/>
  <c r="AI43" i="44"/>
  <c r="AI45" i="44"/>
  <c r="AI97" i="46"/>
  <c r="AI74" i="50"/>
  <c r="AO58" i="50"/>
  <c r="J73" i="2"/>
  <c r="AI39" i="48"/>
  <c r="AO49" i="46"/>
  <c r="AO51" i="47"/>
  <c r="AO14" i="53"/>
  <c r="AI109" i="47"/>
  <c r="AI107" i="51"/>
  <c r="L77" i="2"/>
  <c r="AO62" i="51"/>
  <c r="AI98" i="51"/>
  <c r="AO41" i="48"/>
  <c r="AI49" i="45"/>
  <c r="AO52" i="50"/>
  <c r="AO34" i="48"/>
  <c r="L109" i="2"/>
  <c r="AI85" i="50"/>
  <c r="AI103" i="47"/>
  <c r="AI83" i="49"/>
  <c r="AI23" i="49"/>
  <c r="N79" i="2"/>
  <c r="AO30" i="51"/>
  <c r="AI78" i="45"/>
  <c r="AI45" i="51"/>
  <c r="AO20" i="45"/>
  <c r="AO48" i="53"/>
  <c r="AO35" i="46"/>
  <c r="AI70" i="48"/>
  <c r="AI29" i="49"/>
  <c r="N87" i="2"/>
  <c r="AI58" i="48"/>
  <c r="AO53" i="46"/>
  <c r="AI58" i="49"/>
  <c r="AI49" i="47"/>
  <c r="AO19" i="50"/>
  <c r="O93" i="2"/>
  <c r="AO48" i="50"/>
  <c r="N76" i="2"/>
  <c r="N68" i="2"/>
  <c r="AI42" i="48"/>
  <c r="J61" i="2"/>
  <c r="AI82" i="44"/>
  <c r="AI17" i="52"/>
  <c r="AI34" i="45"/>
  <c r="AO21" i="47"/>
  <c r="AO21" i="52"/>
  <c r="AI110" i="45"/>
  <c r="AO12" i="52"/>
  <c r="AI107" i="45"/>
  <c r="AI15" i="50"/>
  <c r="AI52" i="53"/>
  <c r="AI39" i="50"/>
  <c r="AO36" i="51"/>
  <c r="AI17" i="47"/>
  <c r="AI24" i="52"/>
  <c r="AI88" i="45"/>
  <c r="AO44" i="47"/>
  <c r="AO59" i="52"/>
  <c r="J80" i="2"/>
  <c r="AI56" i="44"/>
  <c r="O78" i="2"/>
  <c r="AI106" i="51"/>
  <c r="AO44" i="44"/>
  <c r="AI87" i="46"/>
  <c r="AO18" i="51"/>
  <c r="AI14" i="47"/>
  <c r="AI61" i="51"/>
  <c r="AO52" i="45"/>
  <c r="AO20" i="49"/>
  <c r="AI47" i="45"/>
  <c r="AI67" i="47"/>
  <c r="AO59" i="50"/>
  <c r="AI87" i="47"/>
  <c r="AI35" i="44"/>
  <c r="AI100" i="52"/>
  <c r="AI98" i="48"/>
  <c r="AO43" i="50"/>
  <c r="AI15" i="51"/>
  <c r="AO17" i="45"/>
  <c r="AI96" i="51"/>
  <c r="AI83" i="52"/>
  <c r="AI100" i="48"/>
  <c r="AI39" i="47"/>
  <c r="L92" i="2"/>
  <c r="AI53" i="50"/>
  <c r="AI73" i="52"/>
  <c r="AO62" i="49"/>
  <c r="AI38" i="44"/>
  <c r="AI88" i="53"/>
  <c r="AO55" i="52"/>
  <c r="AI12" i="52"/>
  <c r="AI63" i="47"/>
  <c r="AI77" i="50"/>
  <c r="AO49" i="51"/>
  <c r="AI56" i="53"/>
  <c r="AO63" i="46"/>
  <c r="AI29" i="51"/>
  <c r="AO64" i="46"/>
  <c r="N109" i="2"/>
  <c r="N77" i="2"/>
  <c r="N86" i="2"/>
  <c r="AI28" i="46"/>
  <c r="AO57" i="45"/>
  <c r="AI22" i="48"/>
  <c r="AO11" i="51"/>
  <c r="L65" i="2"/>
  <c r="N94" i="2"/>
  <c r="AI14" i="50"/>
  <c r="AI96" i="49"/>
  <c r="AI19" i="50"/>
  <c r="AI70" i="46"/>
  <c r="AI50" i="50"/>
  <c r="AI81" i="45"/>
  <c r="AO49" i="50"/>
  <c r="AO16" i="47"/>
  <c r="AI94" i="51"/>
  <c r="AO46" i="51"/>
  <c r="AO37" i="51"/>
  <c r="AI49" i="44"/>
  <c r="AI62" i="44"/>
  <c r="AI92" i="50"/>
  <c r="AI92" i="49"/>
  <c r="AI60" i="47"/>
  <c r="AO43" i="52"/>
  <c r="AO64" i="45"/>
  <c r="AI10" i="48"/>
  <c r="O73" i="2"/>
  <c r="N67" i="2"/>
  <c r="AI64" i="44"/>
  <c r="J95" i="2"/>
  <c r="AO56" i="53"/>
  <c r="AI89" i="50"/>
  <c r="AO27" i="50"/>
  <c r="AI85" i="49"/>
  <c r="L91" i="2"/>
  <c r="AI33" i="45"/>
  <c r="AI102" i="53"/>
  <c r="AI109" i="48"/>
  <c r="AI78" i="51"/>
  <c r="AO36" i="52"/>
  <c r="N84" i="2"/>
  <c r="AI23" i="50"/>
  <c r="AI55" i="48"/>
  <c r="J100" i="2"/>
  <c r="AI45" i="49"/>
  <c r="AO45" i="47"/>
  <c r="AI37" i="45"/>
  <c r="AI18" i="48"/>
  <c r="AI82" i="28"/>
  <c r="AJ82" i="28" s="1"/>
  <c r="AO12" i="51"/>
  <c r="AO33" i="48"/>
  <c r="AI69" i="53"/>
  <c r="AI90" i="46"/>
  <c r="AI63" i="53"/>
  <c r="AI86" i="51"/>
  <c r="AI15" i="52"/>
  <c r="AI66" i="45"/>
  <c r="AO42" i="53"/>
  <c r="AO14" i="45"/>
  <c r="AI54" i="44"/>
  <c r="AI100" i="47"/>
  <c r="AI25" i="44"/>
  <c r="AO48" i="49"/>
  <c r="AO48" i="52"/>
  <c r="AO12" i="49"/>
  <c r="AI96" i="46"/>
  <c r="AO30" i="47"/>
  <c r="AI13" i="49"/>
  <c r="L84" i="2"/>
  <c r="AI24" i="51"/>
  <c r="AO23" i="46"/>
  <c r="AO23" i="50"/>
  <c r="AI74" i="46"/>
  <c r="AI86" i="49"/>
  <c r="AO39" i="47"/>
  <c r="N63" i="2"/>
  <c r="L75" i="2"/>
  <c r="AO13" i="46"/>
  <c r="AI73" i="28"/>
  <c r="AJ73" i="28" s="1"/>
  <c r="AO15" i="45"/>
  <c r="AO52" i="52"/>
  <c r="L100" i="2"/>
  <c r="AI91" i="51"/>
  <c r="AI59" i="53"/>
  <c r="AO44" i="46"/>
  <c r="AI93" i="46"/>
  <c r="AI58" i="52"/>
  <c r="AI20" i="45"/>
  <c r="AI35" i="46"/>
  <c r="N95" i="2"/>
  <c r="AI78" i="44"/>
  <c r="AI52" i="45"/>
  <c r="AI30" i="52"/>
  <c r="AI46" i="46"/>
  <c r="AI50" i="53"/>
  <c r="AO60" i="46"/>
  <c r="L101" i="2"/>
  <c r="AI49" i="51"/>
  <c r="AI36" i="52"/>
  <c r="AI58" i="44"/>
  <c r="L98" i="2"/>
  <c r="AI78" i="50"/>
  <c r="AO63" i="48"/>
  <c r="L60" i="2"/>
  <c r="AI67" i="51"/>
  <c r="N70" i="2"/>
  <c r="AI49" i="52"/>
  <c r="AO25" i="45"/>
  <c r="AI73" i="46"/>
  <c r="AI25" i="49"/>
  <c r="AO32" i="53"/>
  <c r="L78" i="2"/>
  <c r="AO51" i="51"/>
  <c r="AI95" i="50"/>
  <c r="AI108" i="28"/>
  <c r="AJ108" i="28" s="1"/>
  <c r="AO22" i="47"/>
  <c r="AI106" i="28"/>
  <c r="AJ106" i="28" s="1"/>
  <c r="AO22" i="44"/>
  <c r="AO51" i="49"/>
  <c r="AI72" i="44"/>
  <c r="AO59" i="47"/>
  <c r="AI106" i="53"/>
  <c r="AO53" i="44"/>
  <c r="AI10" i="50"/>
  <c r="AI16" i="45"/>
  <c r="AI23" i="45"/>
  <c r="AI10" i="47"/>
  <c r="AI72" i="50"/>
  <c r="AI11" i="52"/>
  <c r="AO58" i="49"/>
  <c r="AI14" i="48"/>
  <c r="AO64" i="50"/>
  <c r="AO22" i="52"/>
  <c r="AI76" i="46"/>
  <c r="AO33" i="51"/>
  <c r="AO34" i="45"/>
  <c r="AI84" i="48"/>
  <c r="AI47" i="48"/>
  <c r="AI15" i="44"/>
  <c r="AI60" i="51"/>
  <c r="AO25" i="53"/>
  <c r="AI63" i="49"/>
  <c r="AI58" i="47"/>
  <c r="AI27" i="45"/>
  <c r="AI89" i="46"/>
  <c r="AI34" i="47"/>
  <c r="AO49" i="49"/>
  <c r="AI54" i="51"/>
  <c r="AI40" i="53"/>
  <c r="L87" i="2"/>
  <c r="AO47" i="48"/>
  <c r="AI27" i="52"/>
  <c r="AI45" i="46"/>
  <c r="AI83" i="48"/>
  <c r="AI19" i="46"/>
  <c r="AI105" i="28"/>
  <c r="AJ105" i="28" s="1"/>
  <c r="AI102" i="48"/>
  <c r="AI33" i="44"/>
  <c r="AI89" i="47"/>
  <c r="AI35" i="48"/>
  <c r="AO54" i="49"/>
  <c r="N62" i="2"/>
  <c r="AO40" i="52"/>
  <c r="AO58" i="53"/>
  <c r="AI69" i="45"/>
  <c r="AI22" i="49"/>
  <c r="AI20" i="47"/>
  <c r="AI103" i="44"/>
  <c r="AI17" i="48"/>
  <c r="J93" i="2"/>
  <c r="AO10" i="48"/>
  <c r="O71" i="2"/>
  <c r="AO46" i="45"/>
  <c r="AI89" i="44"/>
  <c r="AO60" i="47"/>
  <c r="AI65" i="50"/>
  <c r="AI59" i="46"/>
  <c r="AO28" i="53"/>
  <c r="AO21" i="53"/>
  <c r="AI72" i="28"/>
  <c r="AJ72" i="28" s="1"/>
  <c r="AO12" i="46"/>
  <c r="AO49" i="53"/>
  <c r="AO42" i="51"/>
  <c r="O61" i="2"/>
  <c r="AO36" i="53"/>
  <c r="AO59" i="49"/>
  <c r="AO29" i="45"/>
  <c r="AI18" i="51"/>
  <c r="AO55" i="45"/>
  <c r="AI77" i="45"/>
  <c r="AI106" i="46"/>
  <c r="AI41" i="45"/>
  <c r="AI97" i="50"/>
  <c r="AO11" i="46"/>
  <c r="AO35" i="47"/>
  <c r="AI104" i="44"/>
  <c r="O70" i="2"/>
  <c r="AI104" i="28"/>
  <c r="AJ104" i="28" s="1"/>
  <c r="AI55" i="46"/>
  <c r="AO23" i="51"/>
  <c r="AI79" i="49"/>
  <c r="AI85" i="52"/>
  <c r="AI100" i="53"/>
  <c r="L106" i="2"/>
  <c r="AO48" i="44"/>
  <c r="AI53" i="45"/>
  <c r="AO42" i="48"/>
  <c r="AO22" i="46"/>
  <c r="AI106" i="45"/>
  <c r="AI28" i="44"/>
  <c r="AI53" i="53"/>
  <c r="AI26" i="50"/>
  <c r="AI36" i="45"/>
  <c r="AI24" i="50"/>
  <c r="AI89" i="45"/>
  <c r="AO42" i="49"/>
  <c r="AI32" i="52"/>
  <c r="AI92" i="44"/>
  <c r="AI26" i="46"/>
  <c r="AI31" i="46"/>
  <c r="AO54" i="45"/>
  <c r="AI66" i="53"/>
  <c r="AI108" i="46"/>
  <c r="AI65" i="51"/>
  <c r="AO24" i="44"/>
  <c r="AI88" i="28"/>
  <c r="AJ88" i="28" s="1"/>
  <c r="AO46" i="53"/>
  <c r="L74" i="2"/>
  <c r="AO12" i="50"/>
  <c r="AI88" i="48"/>
  <c r="AI100" i="44"/>
  <c r="AI82" i="50"/>
  <c r="AI13" i="48"/>
  <c r="N103" i="2"/>
  <c r="AI37" i="52"/>
  <c r="AI111" i="28"/>
  <c r="AJ111" i="28" s="1"/>
  <c r="AI105" i="48"/>
  <c r="AI71" i="48"/>
  <c r="O69" i="2"/>
  <c r="AO60" i="44"/>
  <c r="O105" i="2"/>
  <c r="AO47" i="44"/>
  <c r="AO22" i="53"/>
  <c r="AI56" i="49"/>
  <c r="AI78" i="28"/>
  <c r="AJ78" i="28" s="1"/>
  <c r="AO26" i="47"/>
  <c r="AI108" i="48"/>
  <c r="AO63" i="51"/>
  <c r="O82" i="2"/>
  <c r="AI82" i="49"/>
  <c r="AI41" i="51"/>
  <c r="AI98" i="46"/>
  <c r="AI21" i="44"/>
  <c r="AO39" i="44"/>
  <c r="J68" i="2"/>
  <c r="AO33" i="46"/>
  <c r="AO12" i="48"/>
  <c r="AO23" i="48"/>
  <c r="AI23" i="48"/>
  <c r="L72" i="2"/>
  <c r="L62" i="2"/>
  <c r="AO43" i="47"/>
  <c r="AO42" i="46"/>
  <c r="AO10" i="51"/>
  <c r="J104" i="2"/>
  <c r="AI71" i="45"/>
  <c r="AI53" i="52"/>
  <c r="AI56" i="47"/>
  <c r="AI43" i="53"/>
  <c r="L102" i="2"/>
  <c r="AO30" i="46"/>
  <c r="AO43" i="53"/>
  <c r="N81" i="2"/>
  <c r="AI70" i="47"/>
  <c r="AI95" i="52"/>
  <c r="L73" i="2"/>
  <c r="L86" i="2"/>
  <c r="AO22" i="49"/>
  <c r="AI99" i="49"/>
  <c r="AI77" i="47"/>
  <c r="AO15" i="46"/>
  <c r="AI113" i="28"/>
  <c r="AJ113" i="28" s="1"/>
  <c r="AO41" i="44"/>
  <c r="AO61" i="48"/>
  <c r="AI32" i="48"/>
  <c r="AI110" i="28"/>
  <c r="AJ110" i="28" s="1"/>
  <c r="AI26" i="47"/>
  <c r="AI47" i="46"/>
  <c r="AI83" i="53"/>
  <c r="AI100" i="51"/>
  <c r="AI80" i="53"/>
  <c r="AO17" i="46"/>
  <c r="AI17" i="50"/>
  <c r="AO41" i="51"/>
  <c r="AI39" i="45"/>
  <c r="AO31" i="53"/>
  <c r="N96" i="2"/>
  <c r="AO35" i="53"/>
  <c r="AI17" i="51"/>
  <c r="AI62" i="45"/>
  <c r="AO60" i="50"/>
  <c r="AI69" i="48"/>
  <c r="N104" i="2"/>
  <c r="AI40" i="48"/>
  <c r="N106" i="2"/>
  <c r="AI82" i="45"/>
  <c r="AO10" i="49"/>
  <c r="AO44" i="50"/>
  <c r="AI82" i="52"/>
  <c r="AO34" i="46"/>
  <c r="AI103" i="45"/>
  <c r="AI75" i="51"/>
  <c r="AI33" i="52"/>
  <c r="AO37" i="45"/>
  <c r="AI98" i="50"/>
  <c r="AI10" i="45"/>
  <c r="AO17" i="51"/>
  <c r="AO36" i="50"/>
  <c r="AI52" i="44"/>
  <c r="AI31" i="48"/>
  <c r="AO45" i="51"/>
  <c r="AI89" i="52"/>
  <c r="AI27" i="44"/>
  <c r="AI85" i="53"/>
  <c r="AI38" i="51"/>
  <c r="O83" i="2"/>
  <c r="O90" i="2"/>
  <c r="AI26" i="48"/>
  <c r="N85" i="2"/>
  <c r="AI99" i="47"/>
  <c r="AO47" i="47"/>
  <c r="AO26" i="46"/>
  <c r="AI99" i="51"/>
  <c r="AI46" i="44"/>
  <c r="AI88" i="49"/>
  <c r="AI48" i="52"/>
  <c r="AI33" i="46"/>
  <c r="AI81" i="49"/>
  <c r="AI101" i="52"/>
  <c r="AI75" i="44"/>
  <c r="AI110" i="49"/>
  <c r="AI45" i="52"/>
  <c r="AI47" i="53"/>
  <c r="AI87" i="51"/>
  <c r="AI14" i="44"/>
  <c r="AI106" i="47"/>
  <c r="AI103" i="51"/>
  <c r="L108" i="2"/>
  <c r="AI35" i="52"/>
  <c r="AO47" i="50"/>
  <c r="AI60" i="45"/>
  <c r="AI100" i="45"/>
  <c r="AI82" i="53"/>
  <c r="AO56" i="49"/>
  <c r="O76" i="2"/>
  <c r="AO36" i="45"/>
  <c r="AI40" i="52"/>
  <c r="J82" i="2"/>
  <c r="AI67" i="44"/>
  <c r="AI83" i="44"/>
  <c r="J88" i="2"/>
  <c r="AO29" i="53"/>
  <c r="AI39" i="44"/>
  <c r="AO16" i="50"/>
  <c r="AO12" i="45"/>
  <c r="AO37" i="49"/>
  <c r="AO62" i="44"/>
  <c r="AI112" i="28"/>
  <c r="AJ112" i="28" s="1"/>
  <c r="AI27" i="48"/>
  <c r="O102" i="2"/>
  <c r="AI85" i="51"/>
  <c r="AI38" i="50"/>
  <c r="AI89" i="48"/>
  <c r="AI60" i="48"/>
  <c r="L103" i="2"/>
  <c r="AO27" i="48"/>
  <c r="AI18" i="44"/>
  <c r="AI46" i="53"/>
  <c r="AO35" i="52"/>
  <c r="O85" i="2"/>
  <c r="AI15" i="48"/>
  <c r="AI84" i="46"/>
  <c r="O65" i="2"/>
  <c r="AI88" i="47"/>
  <c r="AO45" i="44"/>
  <c r="AI42" i="49"/>
  <c r="AO58" i="52"/>
  <c r="AI58" i="45"/>
  <c r="AI82" i="48"/>
  <c r="AI100" i="49"/>
  <c r="AI83" i="46"/>
  <c r="AI37" i="46"/>
  <c r="AO10" i="50"/>
  <c r="AO33" i="50"/>
  <c r="AI21" i="45"/>
  <c r="AO64" i="48"/>
  <c r="AI24" i="45"/>
  <c r="AI31" i="51"/>
  <c r="AI34" i="46"/>
  <c r="N71" i="2"/>
  <c r="AO54" i="44"/>
  <c r="AI15" i="46"/>
  <c r="AI50" i="46"/>
  <c r="AO39" i="51"/>
  <c r="AO60" i="45"/>
  <c r="AI91" i="52"/>
  <c r="AI99" i="50"/>
  <c r="AI29" i="53"/>
  <c r="AI46" i="49"/>
  <c r="AO63" i="52"/>
  <c r="O84" i="2"/>
  <c r="AI24" i="53"/>
  <c r="AI80" i="52"/>
  <c r="AI55" i="52"/>
  <c r="L97" i="2"/>
  <c r="J70" i="2"/>
  <c r="AI90" i="53"/>
  <c r="AI81" i="52"/>
  <c r="AI36" i="44"/>
  <c r="AO40" i="45"/>
  <c r="AO57" i="51"/>
  <c r="AO27" i="45"/>
  <c r="AI44" i="52"/>
  <c r="AI53" i="46"/>
  <c r="AI32" i="44"/>
  <c r="N89" i="2"/>
  <c r="AO52" i="44"/>
  <c r="L79" i="2"/>
  <c r="AO39" i="49"/>
  <c r="AI29" i="44"/>
  <c r="AO49" i="52"/>
  <c r="AI26" i="52"/>
  <c r="AO10" i="45"/>
  <c r="AI53" i="48"/>
  <c r="AO21" i="51"/>
  <c r="AI114" i="28"/>
  <c r="AJ114" i="28" s="1"/>
  <c r="AI42" i="45"/>
  <c r="AI102" i="51"/>
  <c r="AO43" i="51"/>
  <c r="AO57" i="49"/>
  <c r="AI77" i="52"/>
  <c r="AO22" i="48"/>
  <c r="AO26" i="51"/>
  <c r="AO63" i="49"/>
  <c r="AO62" i="53"/>
  <c r="AI109" i="46"/>
  <c r="AO61" i="47"/>
  <c r="AI76" i="51"/>
  <c r="AO50" i="48"/>
  <c r="AI26" i="44"/>
  <c r="AI43" i="48"/>
  <c r="AI71" i="47"/>
  <c r="AO24" i="45"/>
  <c r="AI50" i="48"/>
  <c r="AI57" i="51"/>
  <c r="AI75" i="45"/>
  <c r="J99" i="2"/>
  <c r="J103" i="2"/>
  <c r="AO18" i="52"/>
  <c r="O100" i="2"/>
  <c r="AO54" i="46"/>
  <c r="AI73" i="47"/>
  <c r="AI29" i="47"/>
  <c r="AO40" i="47"/>
  <c r="AI63" i="46"/>
  <c r="O77" i="2"/>
  <c r="AI90" i="49"/>
  <c r="AO36" i="44"/>
  <c r="AI59" i="51"/>
  <c r="AI34" i="48"/>
  <c r="AI34" i="50"/>
  <c r="AI55" i="45"/>
  <c r="AI24" i="44"/>
  <c r="AI38" i="49"/>
  <c r="AO31" i="44"/>
  <c r="AI83" i="47"/>
  <c r="AO41" i="49"/>
  <c r="AO51" i="45"/>
  <c r="AO37" i="47"/>
  <c r="O97" i="2"/>
  <c r="AI44" i="47"/>
  <c r="AI105" i="51"/>
  <c r="AI86" i="47"/>
  <c r="AI70" i="53"/>
  <c r="AI32" i="51"/>
  <c r="AI61" i="52"/>
  <c r="AO64" i="53"/>
  <c r="AI48" i="44"/>
  <c r="AI74" i="53"/>
  <c r="AI78" i="53"/>
  <c r="AO43" i="44"/>
  <c r="AO15" i="50"/>
  <c r="AI84" i="28"/>
  <c r="AJ84" i="28" s="1"/>
  <c r="AO13" i="51"/>
  <c r="AI10" i="52"/>
  <c r="AO50" i="45"/>
  <c r="AI45" i="53"/>
  <c r="AI80" i="44"/>
  <c r="AO51" i="48"/>
  <c r="AI109" i="44"/>
  <c r="AO19" i="51"/>
  <c r="AO20" i="48"/>
  <c r="AI106" i="48"/>
  <c r="AI23" i="53"/>
  <c r="AI68" i="49"/>
  <c r="AO14" i="49"/>
  <c r="AI73" i="53"/>
  <c r="AO29" i="49"/>
  <c r="AI14" i="45"/>
  <c r="AI105" i="50"/>
  <c r="AI18" i="45"/>
  <c r="AI81" i="47"/>
  <c r="AI62" i="50"/>
  <c r="O99" i="2"/>
  <c r="AO15" i="47"/>
  <c r="AO43" i="45"/>
  <c r="AI42" i="46"/>
  <c r="O63" i="2"/>
  <c r="AI33" i="51"/>
  <c r="J67" i="2"/>
  <c r="AI34" i="53"/>
  <c r="AI23" i="52"/>
  <c r="AI74" i="51"/>
  <c r="AI86" i="52"/>
  <c r="AI81" i="44"/>
  <c r="AO14" i="46"/>
  <c r="J108" i="2"/>
  <c r="AO47" i="51"/>
  <c r="AO58" i="48"/>
  <c r="AI107" i="28"/>
  <c r="AJ107" i="28" s="1"/>
  <c r="AO50" i="49"/>
  <c r="AI29" i="45"/>
  <c r="AI77" i="51"/>
  <c r="AI46" i="52"/>
  <c r="AI102" i="46"/>
  <c r="AO45" i="45"/>
  <c r="AI109" i="52"/>
  <c r="J72" i="2"/>
  <c r="AI108" i="45"/>
  <c r="AO29" i="46"/>
  <c r="AO35" i="48"/>
  <c r="AI16" i="52"/>
  <c r="AO61" i="44"/>
  <c r="AI11" i="46"/>
  <c r="AO56" i="44"/>
  <c r="AI54" i="49"/>
  <c r="AI93" i="50"/>
  <c r="AI37" i="44"/>
  <c r="AI39" i="52"/>
  <c r="AI64" i="45"/>
  <c r="AI54" i="53"/>
  <c r="AI90" i="47"/>
  <c r="L64" i="2"/>
  <c r="AI77" i="48"/>
  <c r="J66" i="2"/>
  <c r="AO64" i="44"/>
  <c r="AI75" i="49"/>
  <c r="AO29" i="44"/>
  <c r="AI105" i="53"/>
  <c r="AI71" i="50"/>
  <c r="AI10" i="44"/>
  <c r="AI68" i="51"/>
  <c r="AI21" i="50"/>
  <c r="AI11" i="47"/>
  <c r="AI57" i="45"/>
  <c r="O86" i="2"/>
  <c r="AO54" i="47"/>
  <c r="L82" i="2"/>
  <c r="AI91" i="46"/>
  <c r="AI17" i="44"/>
  <c r="AO38" i="49"/>
  <c r="AI71" i="44"/>
  <c r="AI41" i="46"/>
  <c r="AI21" i="53"/>
  <c r="O60" i="2"/>
  <c r="AI75" i="52"/>
  <c r="L69" i="2"/>
  <c r="AI72" i="46"/>
  <c r="AO60" i="52"/>
  <c r="AI75" i="47"/>
  <c r="AI19" i="48"/>
  <c r="AI46" i="50"/>
  <c r="AI70" i="52"/>
  <c r="N73" i="2"/>
  <c r="AI28" i="48"/>
  <c r="AO59" i="44"/>
  <c r="AI28" i="51"/>
  <c r="AO22" i="50"/>
  <c r="AO24" i="50"/>
  <c r="AI108" i="53"/>
  <c r="AI104" i="49"/>
  <c r="AI80" i="51"/>
  <c r="AI80" i="48"/>
  <c r="AI99" i="45"/>
  <c r="AO39" i="45"/>
  <c r="AO24" i="47"/>
  <c r="AI31" i="52"/>
  <c r="AI76" i="52"/>
  <c r="AI72" i="48"/>
  <c r="AO23" i="52"/>
  <c r="AO61" i="53"/>
  <c r="AI19" i="52"/>
  <c r="AI107" i="50"/>
  <c r="AI96" i="47"/>
  <c r="AI14" i="51"/>
  <c r="AO40" i="53"/>
  <c r="AI30" i="45"/>
  <c r="AI65" i="52"/>
  <c r="AO63" i="53"/>
  <c r="AI15" i="47"/>
  <c r="AI67" i="48"/>
  <c r="AO26" i="50"/>
  <c r="AI51" i="45"/>
  <c r="AO41" i="47"/>
  <c r="AI94" i="45"/>
  <c r="AO13" i="50"/>
  <c r="AI69" i="49"/>
  <c r="AI22" i="53"/>
  <c r="O101" i="2"/>
  <c r="AI40" i="46"/>
  <c r="AO49" i="47"/>
  <c r="AO37" i="53"/>
  <c r="N110" i="2"/>
  <c r="L88" i="2"/>
  <c r="AI76" i="44"/>
  <c r="AI90" i="48"/>
  <c r="AI94" i="28"/>
  <c r="AJ94" i="28" s="1"/>
  <c r="AO32" i="48"/>
  <c r="AI53" i="44"/>
  <c r="AI76" i="50"/>
  <c r="AI21" i="52"/>
  <c r="AI79" i="53"/>
  <c r="AI84" i="44"/>
  <c r="AI17" i="49"/>
  <c r="AI98" i="45"/>
  <c r="AO53" i="52"/>
  <c r="AO46" i="47"/>
  <c r="N107" i="2"/>
  <c r="N69" i="2"/>
  <c r="AI16" i="46"/>
  <c r="AI85" i="47"/>
  <c r="AI40" i="49"/>
  <c r="AO33" i="52"/>
  <c r="AI103" i="46"/>
  <c r="J110" i="2"/>
  <c r="AI19" i="49"/>
  <c r="L80" i="2"/>
  <c r="AO56" i="47"/>
  <c r="AO30" i="49"/>
  <c r="AI54" i="47"/>
  <c r="AI32" i="47"/>
  <c r="AI61" i="46"/>
  <c r="AO45" i="53"/>
  <c r="AO33" i="44"/>
  <c r="AI12" i="44"/>
  <c r="AI104" i="50"/>
  <c r="AO48" i="45"/>
  <c r="AO42" i="45"/>
  <c r="AO40" i="46"/>
  <c r="N97" i="2"/>
  <c r="J71" i="2"/>
  <c r="AI49" i="48"/>
  <c r="AI95" i="49"/>
  <c r="AO27" i="49"/>
  <c r="J90" i="2"/>
  <c r="AI14" i="49"/>
  <c r="AO27" i="46"/>
  <c r="AI32" i="50"/>
  <c r="AI96" i="44"/>
  <c r="AI79" i="52"/>
  <c r="AI100" i="46"/>
  <c r="AO51" i="50"/>
  <c r="AI12" i="53"/>
  <c r="AI95" i="28"/>
  <c r="AJ95" i="28" s="1"/>
  <c r="J65" i="2"/>
  <c r="AI110" i="47"/>
  <c r="AI35" i="51"/>
  <c r="AI33" i="48"/>
  <c r="AI110" i="50"/>
  <c r="J85" i="2"/>
  <c r="AO37" i="48"/>
  <c r="AO44" i="53"/>
  <c r="AI33" i="50"/>
  <c r="O72" i="2"/>
  <c r="AO22" i="45"/>
  <c r="AI108" i="50"/>
  <c r="J89" i="2"/>
  <c r="AO42" i="52"/>
  <c r="AI101" i="47"/>
  <c r="AI42" i="44"/>
  <c r="AI18" i="49"/>
  <c r="AO28" i="49"/>
  <c r="AO56" i="51"/>
  <c r="AO32" i="52"/>
  <c r="N65" i="2"/>
  <c r="AO56" i="46"/>
  <c r="AI20" i="52"/>
  <c r="L66" i="2"/>
  <c r="AI25" i="46"/>
  <c r="AI43" i="45"/>
  <c r="AI105" i="47"/>
  <c r="AI41" i="44"/>
  <c r="AI92" i="51"/>
  <c r="AI11" i="45"/>
  <c r="AO46" i="48"/>
  <c r="AI68" i="52"/>
  <c r="AI67" i="53"/>
  <c r="O75" i="2"/>
  <c r="AI88" i="46"/>
  <c r="AI43" i="52"/>
  <c r="AI60" i="44"/>
  <c r="AI91" i="47"/>
  <c r="AO17" i="48"/>
  <c r="AO62" i="45"/>
  <c r="AI51" i="46"/>
  <c r="AI101" i="53"/>
  <c r="AO37" i="50"/>
  <c r="N80" i="2"/>
  <c r="AI91" i="48"/>
  <c r="AI35" i="50"/>
  <c r="AI22" i="45"/>
  <c r="AO38" i="46"/>
  <c r="AI16" i="51"/>
  <c r="AI39" i="46"/>
  <c r="AI47" i="51"/>
  <c r="AO28" i="46"/>
  <c r="AI62" i="51"/>
  <c r="AI106" i="49"/>
  <c r="AO25" i="49"/>
  <c r="AI108" i="44"/>
  <c r="AI71" i="51"/>
  <c r="AI53" i="49"/>
  <c r="AI55" i="44"/>
  <c r="AI86" i="53"/>
  <c r="AI42" i="51"/>
  <c r="AI34" i="51"/>
  <c r="AO57" i="52"/>
  <c r="AI52" i="46"/>
  <c r="AI20" i="50"/>
  <c r="AI104" i="48"/>
  <c r="AI77" i="28"/>
  <c r="AJ77" i="28" s="1"/>
  <c r="AI89" i="49"/>
  <c r="AI103" i="53"/>
  <c r="AI65" i="44"/>
  <c r="L71" i="2"/>
  <c r="AO51" i="53"/>
  <c r="AI68" i="48"/>
  <c r="AI70" i="49"/>
  <c r="AI16" i="44"/>
  <c r="AI10" i="49"/>
  <c r="AI52" i="47"/>
  <c r="AI47" i="50"/>
  <c r="AI44" i="46"/>
  <c r="AO56" i="45"/>
  <c r="AO24" i="51"/>
  <c r="O110" i="2"/>
  <c r="AI64" i="49"/>
  <c r="AI66" i="44"/>
  <c r="AI31" i="50"/>
  <c r="AO29" i="48"/>
  <c r="AI31" i="44"/>
  <c r="AI87" i="49"/>
  <c r="J102" i="2"/>
  <c r="O103" i="2"/>
  <c r="AO25" i="44"/>
  <c r="L89" i="2"/>
  <c r="AI71" i="53"/>
  <c r="AI93" i="44"/>
  <c r="AO53" i="50"/>
  <c r="AI32" i="49"/>
  <c r="AI102" i="28"/>
  <c r="AJ102" i="28" s="1"/>
  <c r="AO43" i="49"/>
  <c r="AI65" i="46"/>
  <c r="AO43" i="46"/>
  <c r="AI46" i="47"/>
  <c r="AI89" i="53"/>
  <c r="J105" i="2"/>
  <c r="AI25" i="52"/>
  <c r="AI96" i="45"/>
  <c r="AO20" i="51"/>
  <c r="AI93" i="51"/>
  <c r="AI42" i="52"/>
  <c r="AI28" i="45"/>
  <c r="AO42" i="47"/>
  <c r="AI59" i="47"/>
  <c r="AO31" i="48"/>
  <c r="AI23" i="47"/>
  <c r="AI110" i="48"/>
  <c r="AI79" i="45"/>
  <c r="AI45" i="50"/>
  <c r="AI67" i="49"/>
  <c r="AI50" i="45"/>
  <c r="AO17" i="53"/>
  <c r="AO10" i="46"/>
  <c r="AI62" i="48"/>
  <c r="O80" i="2"/>
  <c r="AO28" i="44"/>
  <c r="AO25" i="52"/>
  <c r="O89" i="2"/>
  <c r="AI32" i="53"/>
  <c r="AI94" i="44"/>
  <c r="AI13" i="51"/>
  <c r="AI99" i="48"/>
  <c r="AI39" i="53"/>
  <c r="AO48" i="47"/>
  <c r="AI44" i="45"/>
  <c r="AO25" i="50"/>
  <c r="AI102" i="47"/>
  <c r="AI81" i="48"/>
  <c r="AO16" i="49"/>
  <c r="L63" i="2"/>
  <c r="AI28" i="50"/>
  <c r="AI64" i="53"/>
  <c r="O106" i="2"/>
  <c r="AI18" i="52"/>
  <c r="N93" i="2"/>
  <c r="AI37" i="53"/>
  <c r="AI62" i="46"/>
  <c r="AO53" i="48"/>
  <c r="AI70" i="45"/>
  <c r="J76" i="2"/>
  <c r="AI16" i="48"/>
  <c r="AI45" i="45"/>
  <c r="AI49" i="49"/>
  <c r="AI36" i="47"/>
  <c r="AI105" i="44"/>
  <c r="AI15" i="53"/>
  <c r="AO46" i="46"/>
  <c r="AO19" i="52"/>
  <c r="AI99" i="53"/>
  <c r="AI105" i="45"/>
  <c r="AI95" i="53"/>
  <c r="AI82" i="47"/>
  <c r="AO21" i="44"/>
  <c r="AO13" i="52"/>
  <c r="AO45" i="49"/>
  <c r="AI22" i="44"/>
  <c r="AO19" i="46"/>
  <c r="O109" i="2"/>
  <c r="AO54" i="48"/>
  <c r="AO50" i="51"/>
  <c r="AI95" i="45"/>
  <c r="AI10" i="53"/>
  <c r="AI54" i="45"/>
  <c r="AI51" i="53"/>
  <c r="AO48" i="48"/>
  <c r="AI66" i="48"/>
  <c r="AO54" i="50"/>
  <c r="AI64" i="46"/>
  <c r="AO56" i="52"/>
  <c r="AO19" i="49"/>
  <c r="AI97" i="48"/>
  <c r="AI55" i="50"/>
  <c r="AO53" i="45"/>
  <c r="AI37" i="49"/>
  <c r="AO41" i="46"/>
  <c r="AO34" i="44"/>
  <c r="AI88" i="50"/>
  <c r="AI31" i="45"/>
  <c r="AI58" i="51"/>
  <c r="AI69" i="47"/>
  <c r="O104" i="2"/>
  <c r="AI31" i="49"/>
  <c r="AO55" i="44"/>
  <c r="AO61" i="52"/>
  <c r="AO15" i="49"/>
  <c r="AO40" i="44"/>
  <c r="L99" i="2"/>
  <c r="AI90" i="50"/>
  <c r="O87" i="2"/>
  <c r="AI19" i="51"/>
  <c r="AI20" i="46"/>
  <c r="J74" i="2"/>
  <c r="AI50" i="44"/>
  <c r="AO13" i="45"/>
  <c r="AI55" i="51"/>
  <c r="L81" i="2"/>
  <c r="AI13" i="53"/>
  <c r="AO41" i="50"/>
  <c r="AI109" i="45"/>
  <c r="AO60" i="48"/>
  <c r="O88" i="2"/>
  <c r="AI54" i="50"/>
  <c r="AI96" i="50"/>
  <c r="AO20" i="53"/>
  <c r="AI90" i="51"/>
  <c r="AI80" i="45"/>
  <c r="AO54" i="52"/>
  <c r="AO38" i="50"/>
  <c r="AO56" i="50"/>
  <c r="AI37" i="48"/>
  <c r="AI50" i="51"/>
  <c r="AO32" i="44"/>
  <c r="AI107" i="46"/>
  <c r="AI57" i="48"/>
  <c r="AO17" i="44"/>
  <c r="AI68" i="46"/>
  <c r="AO38" i="51"/>
  <c r="AO36" i="47"/>
  <c r="AI36" i="50"/>
  <c r="AI44" i="48"/>
  <c r="AI28" i="52"/>
  <c r="J63" i="2"/>
  <c r="AI106" i="52"/>
  <c r="AI21" i="47"/>
  <c r="AI54" i="48"/>
  <c r="AI67" i="52"/>
  <c r="AI62" i="49"/>
  <c r="AO46" i="50"/>
  <c r="AI79" i="51"/>
  <c r="AI39" i="49"/>
  <c r="AI76" i="49"/>
  <c r="AI52" i="52"/>
  <c r="J94" i="2"/>
  <c r="AI63" i="52"/>
  <c r="AI37" i="47"/>
  <c r="AO24" i="49"/>
  <c r="AI38" i="53"/>
  <c r="J91" i="2"/>
  <c r="AI69" i="44"/>
  <c r="AI63" i="50"/>
  <c r="O92" i="2"/>
  <c r="AO15" i="48"/>
  <c r="O64" i="2"/>
  <c r="AI105" i="46"/>
  <c r="AI78" i="46"/>
  <c r="AO48" i="46"/>
  <c r="AI29" i="48"/>
  <c r="AI19" i="45"/>
  <c r="AO19" i="44"/>
  <c r="AO11" i="50"/>
  <c r="AI91" i="28"/>
  <c r="AJ91" i="28" s="1"/>
  <c r="AI70" i="51"/>
  <c r="AO30" i="52"/>
  <c r="AI41" i="53"/>
  <c r="N105" i="2"/>
  <c r="AO59" i="45"/>
  <c r="AO11" i="48"/>
  <c r="AI48" i="51"/>
  <c r="AO40" i="49"/>
  <c r="AO61" i="46"/>
  <c r="AI24" i="46"/>
  <c r="O74" i="2"/>
  <c r="AI87" i="52"/>
  <c r="AI86" i="50"/>
  <c r="AI86" i="44"/>
  <c r="AI52" i="51"/>
  <c r="AI106" i="50"/>
  <c r="AO60" i="51"/>
  <c r="N83" i="2"/>
  <c r="AI100" i="50"/>
  <c r="AI74" i="52"/>
  <c r="AI95" i="44"/>
  <c r="AI84" i="52"/>
  <c r="AI90" i="52"/>
  <c r="AI81" i="46"/>
  <c r="AI64" i="52"/>
  <c r="AO13" i="53"/>
  <c r="AO12" i="44"/>
  <c r="AO21" i="50"/>
  <c r="AI87" i="45"/>
  <c r="AO20" i="46"/>
  <c r="AO38" i="47"/>
  <c r="AI23" i="44"/>
  <c r="AI108" i="49"/>
  <c r="AO28" i="45"/>
  <c r="AI59" i="48"/>
  <c r="O62" i="2"/>
  <c r="AO53" i="47"/>
  <c r="AI54" i="52"/>
  <c r="AO44" i="49"/>
  <c r="AI88" i="52"/>
  <c r="AI73" i="44"/>
  <c r="AI80" i="50"/>
  <c r="AO39" i="46"/>
  <c r="AO23" i="45"/>
  <c r="AI103" i="49"/>
  <c r="AI47" i="47"/>
  <c r="AO23" i="49"/>
  <c r="AI44" i="44"/>
  <c r="AO32" i="46"/>
  <c r="AO38" i="44"/>
  <c r="AI21" i="49"/>
  <c r="AI59" i="52"/>
  <c r="AO14" i="48"/>
  <c r="AO51" i="52"/>
  <c r="AO34" i="51"/>
  <c r="AI90" i="45"/>
  <c r="AO16" i="45"/>
  <c r="AO11" i="45"/>
  <c r="AO24" i="53"/>
  <c r="AI13" i="45"/>
  <c r="AI106" i="44"/>
  <c r="AI103" i="28"/>
  <c r="AJ103" i="28" s="1"/>
  <c r="J84" i="2"/>
  <c r="AI71" i="49"/>
  <c r="AO27" i="44"/>
  <c r="AI81" i="28"/>
  <c r="AJ81" i="28" s="1"/>
  <c r="AO17" i="52"/>
  <c r="N98" i="2"/>
  <c r="AO16" i="53"/>
  <c r="AI57" i="44"/>
  <c r="J101" i="2"/>
  <c r="AI50" i="52"/>
  <c r="AI51" i="44"/>
  <c r="AI73" i="51"/>
  <c r="AI107" i="49"/>
  <c r="AO20" i="44"/>
  <c r="AI41" i="50"/>
  <c r="AI69" i="50"/>
  <c r="AI87" i="48"/>
  <c r="AI51" i="49"/>
  <c r="AI92" i="48"/>
  <c r="AO39" i="53"/>
  <c r="J86" i="2"/>
  <c r="AI76" i="45"/>
  <c r="AO15" i="53"/>
  <c r="J109" i="2"/>
  <c r="AI53" i="51"/>
  <c r="AI13" i="52"/>
  <c r="AI24" i="48"/>
  <c r="N78" i="2"/>
  <c r="AI61" i="53"/>
  <c r="O94" i="2"/>
  <c r="AO40" i="50"/>
  <c r="AO12" i="53"/>
  <c r="AI94" i="53"/>
  <c r="AI23" i="46"/>
  <c r="AI103" i="48"/>
  <c r="AI22" i="47"/>
  <c r="AO55" i="49"/>
  <c r="AI86" i="45"/>
  <c r="AO52" i="47"/>
  <c r="AI75" i="28"/>
  <c r="AJ75" i="28" s="1"/>
  <c r="AO37" i="44"/>
  <c r="AO38" i="48"/>
  <c r="AI93" i="28"/>
  <c r="AJ93" i="28" s="1"/>
  <c r="AI41" i="52"/>
  <c r="J83" i="2"/>
  <c r="AO58" i="45"/>
  <c r="AO55" i="53"/>
  <c r="AI66" i="46"/>
  <c r="AI43" i="51"/>
  <c r="AI110" i="44"/>
  <c r="AO16" i="44"/>
  <c r="AO24" i="52"/>
  <c r="AI61" i="50"/>
  <c r="AI105" i="49"/>
  <c r="AI56" i="45"/>
  <c r="AO23" i="44"/>
  <c r="AO31" i="46"/>
  <c r="AI74" i="28"/>
  <c r="AJ74" i="28" s="1"/>
  <c r="AO30" i="48"/>
  <c r="AO11" i="52"/>
  <c r="AI27" i="46"/>
  <c r="AI27" i="53"/>
  <c r="AO35" i="50"/>
  <c r="J107" i="2"/>
  <c r="AI27" i="51"/>
  <c r="AI88" i="44"/>
  <c r="O67" i="2"/>
  <c r="AO35" i="45"/>
  <c r="AI82" i="46"/>
  <c r="AI98" i="53"/>
  <c r="AI80" i="46"/>
  <c r="AO56" i="48"/>
  <c r="AO44" i="45"/>
  <c r="O91" i="2"/>
  <c r="AI108" i="47"/>
  <c r="N72" i="2"/>
  <c r="AI72" i="45"/>
  <c r="AO18" i="46"/>
  <c r="AI32" i="46"/>
  <c r="AI90" i="28"/>
  <c r="AJ90" i="28" s="1"/>
  <c r="N88" i="2"/>
  <c r="AI79" i="44"/>
  <c r="AI10" i="51"/>
  <c r="AI73" i="48"/>
  <c r="O107" i="2"/>
  <c r="AO20" i="50"/>
  <c r="AO61" i="51"/>
  <c r="AO11" i="53"/>
  <c r="AI74" i="45"/>
  <c r="AO26" i="48"/>
  <c r="AI91" i="45"/>
  <c r="AO13" i="47"/>
  <c r="AI21" i="51"/>
  <c r="AI93" i="52"/>
  <c r="AI21" i="48"/>
  <c r="AI102" i="49"/>
  <c r="AI56" i="51"/>
  <c r="AO39" i="50"/>
  <c r="L68" i="2"/>
  <c r="AI19" i="53"/>
  <c r="AI93" i="53"/>
  <c r="AI99" i="46"/>
  <c r="AI17" i="53"/>
  <c r="AI96" i="28"/>
  <c r="AJ96" i="28" s="1"/>
  <c r="AO20" i="47"/>
  <c r="AO57" i="53"/>
  <c r="AI42" i="50"/>
  <c r="AI91" i="49"/>
  <c r="AI42" i="47"/>
  <c r="AO51" i="44"/>
  <c r="AO18" i="49"/>
  <c r="AO25" i="47"/>
  <c r="AO53" i="51"/>
  <c r="AI48" i="50"/>
  <c r="AO26" i="44"/>
  <c r="AI57" i="52"/>
  <c r="AO18" i="48"/>
  <c r="AI17" i="45"/>
  <c r="N75" i="2"/>
  <c r="AI25" i="50"/>
  <c r="AI25" i="53"/>
  <c r="AI101" i="45"/>
  <c r="AO36" i="48"/>
  <c r="AO13" i="48"/>
  <c r="AI83" i="28"/>
  <c r="AJ83" i="28" s="1"/>
  <c r="AO14" i="51"/>
  <c r="N91" i="2"/>
  <c r="AI58" i="46"/>
  <c r="AO17" i="47"/>
  <c r="AI57" i="46"/>
  <c r="AI97" i="52"/>
  <c r="AO32" i="47"/>
  <c r="AO14" i="50"/>
  <c r="AI44" i="53"/>
  <c r="AO14" i="52"/>
  <c r="AI55" i="53"/>
  <c r="AO12" i="47"/>
  <c r="AO57" i="44"/>
  <c r="AO31" i="47"/>
  <c r="L76" i="2"/>
  <c r="AI84" i="51"/>
  <c r="AI53" i="47"/>
  <c r="AO40" i="48"/>
  <c r="AI43" i="46"/>
  <c r="AI99" i="44"/>
  <c r="AI92" i="28"/>
  <c r="AJ92" i="28" s="1"/>
  <c r="AO34" i="50"/>
  <c r="AI86" i="28"/>
  <c r="AJ86" i="28" s="1"/>
  <c r="AO63" i="47"/>
  <c r="AI107" i="48"/>
  <c r="N82" i="2"/>
  <c r="AO16" i="52"/>
  <c r="AI83" i="50"/>
  <c r="AO49" i="44"/>
  <c r="AI57" i="47"/>
  <c r="AI59" i="50"/>
  <c r="AI65" i="53"/>
  <c r="AI81" i="50"/>
  <c r="AI84" i="47"/>
  <c r="AO53" i="49"/>
  <c r="AI104" i="53"/>
  <c r="AI104" i="47"/>
  <c r="AI35" i="53"/>
  <c r="AI37" i="50"/>
  <c r="AI66" i="50"/>
  <c r="AI92" i="53"/>
  <c r="AI94" i="49"/>
  <c r="AO60" i="53"/>
  <c r="L96" i="2"/>
  <c r="AI63" i="51"/>
  <c r="AO37" i="52"/>
  <c r="N61" i="2"/>
  <c r="AI51" i="52"/>
  <c r="AI36" i="49"/>
  <c r="AI104" i="52"/>
  <c r="AO25" i="51"/>
  <c r="AI33" i="47"/>
  <c r="AO41" i="45"/>
  <c r="AI60" i="49"/>
  <c r="AO57" i="48"/>
  <c r="AI59" i="45"/>
  <c r="AI107" i="53"/>
  <c r="AI85" i="45"/>
  <c r="AI65" i="45"/>
  <c r="AO44" i="51"/>
  <c r="AO57" i="46"/>
  <c r="AO24" i="48"/>
  <c r="AO30" i="44"/>
  <c r="AI22" i="52"/>
  <c r="AI109" i="50"/>
  <c r="AO50" i="47"/>
  <c r="J87" i="2"/>
  <c r="AI97" i="47"/>
  <c r="AO34" i="47"/>
  <c r="AO33" i="47"/>
  <c r="AO20" i="52"/>
  <c r="AO45" i="46"/>
  <c r="AI84" i="49"/>
  <c r="N60" i="2"/>
  <c r="AI92" i="46"/>
  <c r="AI45" i="47"/>
  <c r="N66" i="2"/>
  <c r="AO64" i="51"/>
  <c r="AO19" i="48"/>
  <c r="AI28" i="49"/>
  <c r="AI68" i="53"/>
  <c r="AO52" i="53"/>
  <c r="AI101" i="46"/>
  <c r="AI37" i="51"/>
  <c r="AI97" i="28"/>
  <c r="AJ97" i="28" s="1"/>
  <c r="AI14" i="53"/>
  <c r="O79" i="2"/>
  <c r="AI96" i="53"/>
  <c r="AI11" i="50"/>
  <c r="AI48" i="53"/>
  <c r="AI34" i="52"/>
  <c r="AI76" i="48"/>
  <c r="AI90" i="44"/>
  <c r="AI78" i="49"/>
  <c r="AO10" i="44"/>
  <c r="AI93" i="49"/>
  <c r="AI59" i="49"/>
  <c r="AO27" i="53"/>
  <c r="AI21" i="46"/>
  <c r="AO64" i="47"/>
  <c r="AI103" i="50"/>
  <c r="AO43" i="48"/>
  <c r="AO34" i="52"/>
  <c r="AI71" i="52"/>
  <c r="AI79" i="28"/>
  <c r="AJ79" i="28" s="1"/>
  <c r="AI14" i="52"/>
  <c r="AO51" i="46"/>
  <c r="AI38" i="52"/>
  <c r="AI109" i="53"/>
  <c r="AI86" i="48"/>
  <c r="AI48" i="45"/>
  <c r="AI77" i="46"/>
  <c r="AO36" i="46"/>
  <c r="AO13" i="49"/>
  <c r="AO25" i="48"/>
  <c r="AO28" i="50"/>
  <c r="AO15" i="51"/>
  <c r="AI38" i="47"/>
  <c r="AI75" i="50"/>
  <c r="AI15" i="49"/>
  <c r="AI57" i="53"/>
  <c r="AO18" i="50"/>
  <c r="AO17" i="49"/>
  <c r="AI93" i="45"/>
  <c r="AI78" i="47"/>
  <c r="AI65" i="48"/>
  <c r="AO31" i="52"/>
  <c r="AI12" i="48"/>
  <c r="J92" i="2"/>
  <c r="AI12" i="46"/>
  <c r="AI98" i="44"/>
  <c r="AI30" i="51"/>
  <c r="AO31" i="50"/>
  <c r="AI108" i="51"/>
  <c r="AI12" i="45"/>
  <c r="AI110" i="51"/>
  <c r="AO11" i="47"/>
  <c r="AI104" i="45"/>
  <c r="AI79" i="48"/>
  <c r="AI16" i="49"/>
  <c r="AI75" i="53"/>
  <c r="AI79" i="50"/>
  <c r="AI74" i="48"/>
  <c r="O68" i="2"/>
  <c r="L61" i="2"/>
  <c r="AI18" i="47"/>
  <c r="AI66" i="52"/>
  <c r="AO30" i="53"/>
  <c r="O96" i="2"/>
  <c r="AO60" i="49"/>
  <c r="AI52" i="50"/>
  <c r="AI30" i="50"/>
  <c r="AI46" i="45"/>
  <c r="AI10" i="46"/>
  <c r="AI101" i="28"/>
  <c r="AJ101" i="28" s="1"/>
  <c r="AO22" i="51"/>
  <c r="AO32" i="50"/>
  <c r="AI61" i="45"/>
  <c r="L93" i="2"/>
  <c r="AI97" i="44"/>
  <c r="AI28" i="53"/>
  <c r="AI67" i="45"/>
  <c r="AI70" i="50"/>
  <c r="AI35" i="47"/>
  <c r="N102" i="2"/>
  <c r="AI82" i="51"/>
  <c r="AI62" i="52"/>
  <c r="AI72" i="47"/>
  <c r="AI107" i="52"/>
  <c r="AI68" i="50"/>
  <c r="AO64" i="49"/>
  <c r="AO35" i="49"/>
  <c r="AO55" i="50"/>
  <c r="AI80" i="28"/>
  <c r="AJ80" i="28" s="1"/>
  <c r="AO59" i="46"/>
  <c r="AI110" i="52"/>
  <c r="AI46" i="51"/>
  <c r="AI64" i="51"/>
  <c r="AI48" i="46"/>
  <c r="AI97" i="51"/>
  <c r="AI80" i="49"/>
  <c r="AI72" i="53"/>
  <c r="L67" i="2"/>
  <c r="AO21" i="46"/>
  <c r="AI24" i="47"/>
  <c r="AI13" i="50"/>
  <c r="AI49" i="46"/>
  <c r="AO46" i="49"/>
  <c r="AI68" i="45"/>
  <c r="AO17" i="50"/>
  <c r="AI64" i="50"/>
  <c r="AI71" i="28"/>
  <c r="AJ71" i="28" s="1"/>
  <c r="AI42" i="53"/>
  <c r="AO58" i="46"/>
  <c r="AI62" i="53"/>
  <c r="AI84" i="53"/>
  <c r="AI29" i="52"/>
  <c r="AI36" i="53"/>
  <c r="AI61" i="44"/>
  <c r="AI43" i="47"/>
  <c r="AI79" i="47"/>
  <c r="AI54" i="46"/>
  <c r="AO14" i="44"/>
  <c r="AI99" i="52"/>
  <c r="L107" i="2"/>
  <c r="AO38" i="52"/>
  <c r="O81" i="2"/>
  <c r="AI92" i="52"/>
  <c r="AI97" i="45"/>
  <c r="AI85" i="44"/>
  <c r="AI63" i="45"/>
  <c r="AI20" i="48"/>
  <c r="AI102" i="44"/>
  <c r="AI67" i="50"/>
  <c r="AI20" i="44"/>
  <c r="AI49" i="50"/>
  <c r="AI30" i="49"/>
  <c r="AO18" i="47"/>
  <c r="AI60" i="52"/>
  <c r="AO18" i="44"/>
  <c r="AO55" i="46"/>
  <c r="AO46" i="44"/>
  <c r="AI85" i="28"/>
  <c r="AJ85" i="28" s="1"/>
  <c r="AO45" i="50"/>
  <c r="AI23" i="51"/>
  <c r="AO19" i="47"/>
  <c r="AI30" i="46"/>
  <c r="AO23" i="53"/>
  <c r="AO11" i="44"/>
  <c r="AI65" i="47"/>
  <c r="AI72" i="49"/>
  <c r="AO32" i="51"/>
  <c r="AI47" i="49"/>
  <c r="AO55" i="51"/>
  <c r="AI96" i="52"/>
  <c r="AO63" i="44"/>
  <c r="AO21" i="49"/>
  <c r="AI68" i="47"/>
  <c r="AI11" i="51"/>
  <c r="AI75" i="48"/>
  <c r="AO33" i="53"/>
  <c r="O98" i="2"/>
  <c r="AI66" i="47"/>
  <c r="AI30" i="47"/>
  <c r="AI84" i="45"/>
  <c r="AI94" i="50"/>
  <c r="AI74" i="44"/>
  <c r="AI48" i="47"/>
  <c r="AI56" i="50"/>
  <c r="AI11" i="44"/>
  <c r="AI85" i="48"/>
  <c r="AI74" i="47"/>
  <c r="AI101" i="50"/>
  <c r="AO38" i="53"/>
  <c r="AI35" i="45"/>
  <c r="N108" i="2"/>
  <c r="AI26" i="51"/>
  <c r="AI94" i="52"/>
  <c r="AI105" i="52"/>
  <c r="AI13" i="46"/>
  <c r="AI44" i="51"/>
  <c r="AI47" i="44"/>
  <c r="AI18" i="50"/>
  <c r="AI56" i="46"/>
  <c r="AI46" i="48"/>
  <c r="AI94" i="47"/>
  <c r="AI102" i="50"/>
  <c r="J81" i="2"/>
  <c r="AI89" i="51"/>
  <c r="AI101" i="49"/>
  <c r="J98" i="2"/>
  <c r="AO11" i="49"/>
  <c r="AI34" i="44"/>
  <c r="AI29" i="50"/>
  <c r="AI92" i="47"/>
  <c r="AI40" i="50"/>
  <c r="AO27" i="51"/>
  <c r="AO33" i="49"/>
  <c r="AO25" i="46"/>
  <c r="AI71" i="46"/>
  <c r="AI79" i="46"/>
  <c r="AI101" i="48"/>
  <c r="AO49" i="48"/>
  <c r="AO28" i="51"/>
  <c r="L95" i="2"/>
  <c r="AI81" i="51"/>
  <c r="AO19" i="45"/>
  <c r="AO54" i="51"/>
  <c r="AI33" i="53"/>
  <c r="L105" i="2"/>
  <c r="AI30" i="53"/>
  <c r="AO36" i="49"/>
  <c r="AO50" i="44"/>
  <c r="AI74" i="49"/>
  <c r="AO21" i="45"/>
  <c r="AI68" i="44"/>
  <c r="AO45" i="48"/>
  <c r="AI48" i="49"/>
  <c r="AO55" i="48"/>
  <c r="AI16" i="53"/>
  <c r="L70" i="2"/>
  <c r="AI109" i="28"/>
  <c r="AJ109" i="28" s="1"/>
  <c r="AI15" i="45"/>
  <c r="AO50" i="50"/>
  <c r="AI69" i="51"/>
  <c r="AI51" i="48"/>
  <c r="AO44" i="52"/>
  <c r="AO61" i="49"/>
  <c r="AI57" i="49"/>
  <c r="AI19" i="47"/>
  <c r="AI40" i="44"/>
  <c r="AO59" i="51"/>
  <c r="AI60" i="50"/>
  <c r="AO52" i="49"/>
  <c r="AI31" i="53"/>
  <c r="AO30" i="50"/>
  <c r="AO47" i="45"/>
  <c r="AI66" i="51"/>
  <c r="AI94" i="46"/>
  <c r="AI40" i="47"/>
  <c r="AI20" i="49"/>
  <c r="AI61" i="49"/>
  <c r="AO62" i="47"/>
  <c r="AI25" i="45"/>
  <c r="AI58" i="53"/>
  <c r="AI61" i="47"/>
  <c r="AO63" i="45"/>
  <c r="AI11" i="53"/>
  <c r="AO52" i="48"/>
  <c r="AI27" i="50"/>
  <c r="AI109" i="51"/>
  <c r="AO10" i="52"/>
  <c r="AI43" i="49"/>
  <c r="AI80" i="47"/>
  <c r="AO29" i="52"/>
  <c r="AI60" i="46"/>
  <c r="AO29" i="47"/>
  <c r="AI25" i="51"/>
  <c r="AO48" i="51"/>
  <c r="AI95" i="46"/>
  <c r="AO32" i="49"/>
  <c r="N101" i="2"/>
  <c r="AI17" i="46"/>
  <c r="AI59" i="44"/>
  <c r="AI30" i="44"/>
  <c r="AI44" i="49"/>
  <c r="AI64" i="48"/>
  <c r="AI107" i="47"/>
  <c r="AI51" i="47"/>
  <c r="AI95" i="48"/>
  <c r="AI14" i="46"/>
  <c r="AI96" i="48"/>
  <c r="AO16" i="51"/>
  <c r="J64" i="2"/>
  <c r="AI77" i="53"/>
  <c r="AO42" i="44"/>
  <c r="AO31" i="45"/>
  <c r="AI50" i="47"/>
  <c r="AI38" i="45"/>
  <c r="AO62" i="50"/>
  <c r="AI29" i="46"/>
  <c r="AI51" i="50"/>
  <c r="J75" i="2"/>
  <c r="AO50" i="46"/>
  <c r="AI98" i="28"/>
  <c r="AJ98" i="28" s="1"/>
  <c r="AI101" i="44"/>
  <c r="AI36" i="51"/>
  <c r="AI102" i="52"/>
  <c r="L104" i="2"/>
  <c r="AI91" i="53"/>
  <c r="AI64" i="47"/>
  <c r="AI91" i="50"/>
  <c r="AI83" i="51"/>
  <c r="AI41" i="48"/>
  <c r="AO38" i="45"/>
  <c r="AI73" i="50"/>
  <c r="AI26" i="49"/>
  <c r="AI50" i="49"/>
  <c r="AO39" i="52"/>
  <c r="AO16" i="46"/>
  <c r="AI87" i="50"/>
  <c r="AI13" i="47"/>
  <c r="AO45" i="52"/>
  <c r="AO39" i="48"/>
  <c r="AI87" i="28"/>
  <c r="AJ87" i="28" s="1"/>
  <c r="AO28" i="52"/>
  <c r="AO52" i="51"/>
  <c r="AO30" i="45"/>
  <c r="AI93" i="48"/>
  <c r="AI27" i="47"/>
  <c r="AI61" i="48"/>
  <c r="AI76" i="47"/>
  <c r="AI49" i="53"/>
  <c r="J96" i="2"/>
  <c r="AO26" i="49"/>
  <c r="N99" i="2"/>
  <c r="AI19" i="44"/>
  <c r="AO26" i="52"/>
  <c r="AI56" i="52"/>
  <c r="AO61" i="45"/>
  <c r="AO47" i="53"/>
  <c r="AO10" i="47"/>
  <c r="J78" i="2"/>
  <c r="AO44" i="48"/>
  <c r="AI101" i="51"/>
  <c r="AI41" i="49"/>
  <c r="AI25" i="48"/>
  <c r="AI89" i="28"/>
  <c r="AJ89" i="28" s="1"/>
  <c r="AI30" i="48"/>
  <c r="AO28" i="48"/>
  <c r="AI16" i="50"/>
  <c r="AI28" i="47"/>
  <c r="AI87" i="44"/>
  <c r="AI66" i="49"/>
  <c r="AI58" i="50"/>
  <c r="AI95" i="51"/>
  <c r="J62" i="2"/>
  <c r="O108" i="2"/>
  <c r="AI94" i="48"/>
  <c r="AO18" i="53"/>
  <c r="AI12" i="51"/>
  <c r="AI86" i="46"/>
  <c r="AI73" i="49"/>
  <c r="AO59" i="48"/>
  <c r="AI99" i="28"/>
  <c r="AJ99" i="28" s="1"/>
  <c r="AI18" i="53"/>
  <c r="AI34" i="49"/>
  <c r="J97" i="2"/>
  <c r="AI55" i="47"/>
  <c r="AI76" i="28"/>
  <c r="AJ76" i="28" s="1"/>
  <c r="AI38" i="46"/>
  <c r="AO29" i="50"/>
  <c r="AI85" i="46"/>
  <c r="AO58" i="44"/>
  <c r="AI98" i="49"/>
  <c r="O66" i="2"/>
  <c r="AI75" i="46"/>
  <c r="AI33" i="49"/>
  <c r="AI88" i="51"/>
  <c r="AO47" i="52"/>
  <c r="AI20" i="53"/>
  <c r="AO50" i="53"/>
  <c r="AI57" i="50"/>
  <c r="AI52" i="48"/>
  <c r="AO32" i="45"/>
  <c r="AI97" i="53"/>
  <c r="AI40" i="45"/>
  <c r="AO47" i="46"/>
  <c r="AI60" i="53"/>
  <c r="AO50" i="52"/>
  <c r="AI41" i="47"/>
  <c r="J79" i="2"/>
  <c r="AO26" i="53"/>
  <c r="AO59" i="53"/>
  <c r="AI93" i="47"/>
  <c r="AI20" i="51"/>
  <c r="AI100" i="28"/>
  <c r="AJ100" i="28" s="1"/>
  <c r="AI95" i="47"/>
  <c r="AI109" i="49"/>
  <c r="AI98" i="47"/>
  <c r="AO57" i="50"/>
  <c r="AI84" i="50"/>
  <c r="AO62" i="48"/>
  <c r="AI40" i="51"/>
  <c r="AI22" i="50"/>
  <c r="AI107" i="44"/>
  <c r="AI76" i="53"/>
  <c r="AO57" i="47"/>
  <c r="AI12" i="47"/>
  <c r="AO28" i="47"/>
  <c r="AI102" i="45"/>
  <c r="AO23" i="47"/>
  <c r="AO40" i="51"/>
  <c r="AO37" i="46"/>
  <c r="AO42" i="50"/>
  <c r="AI48" i="48"/>
  <c r="N90" i="2"/>
  <c r="N92" i="2"/>
  <c r="AO18" i="45"/>
  <c r="AI98" i="52"/>
  <c r="AO49" i="45"/>
  <c r="AI78" i="48"/>
  <c r="AI35" i="49"/>
  <c r="AO15" i="44"/>
  <c r="AI31" i="47"/>
  <c r="AI25" i="47"/>
  <c r="AI67" i="46"/>
  <c r="AO24" i="46"/>
  <c r="AI11" i="49"/>
  <c r="J77" i="2"/>
  <c r="AO35" i="44"/>
  <c r="L85" i="2"/>
  <c r="L94" i="2"/>
  <c r="AI91" i="44"/>
  <c r="AI13" i="44"/>
  <c r="AO10" i="53"/>
  <c r="AI104" i="51"/>
  <c r="AI11" i="48"/>
  <c r="AO16" i="48"/>
  <c r="AO19" i="53"/>
  <c r="AI63" i="48"/>
  <c r="AO58" i="51"/>
  <c r="AO35" i="51"/>
  <c r="AI97" i="49"/>
  <c r="AI51" i="51"/>
  <c r="AO15" i="52"/>
  <c r="AI36" i="46"/>
  <c r="AI22" i="51"/>
  <c r="AI103" i="52"/>
  <c r="AI62" i="47"/>
  <c r="AO14" i="47"/>
  <c r="AO46" i="52"/>
  <c r="AI42" i="28"/>
  <c r="AI10" i="31"/>
  <c r="AI43" i="34"/>
  <c r="AI34" i="32"/>
  <c r="J46" i="2"/>
  <c r="AI38" i="22"/>
  <c r="AI35" i="22"/>
  <c r="AI19" i="31"/>
  <c r="AI21" i="34"/>
  <c r="AI13" i="34"/>
  <c r="AI36" i="33"/>
  <c r="J51" i="2"/>
  <c r="AI45" i="31"/>
  <c r="AI27" i="22"/>
  <c r="AI56" i="22"/>
  <c r="AI58" i="31"/>
  <c r="AI15" i="33"/>
  <c r="AI22" i="31"/>
  <c r="AI53" i="32"/>
  <c r="J43" i="2"/>
  <c r="AI62" i="28"/>
  <c r="AI23" i="33"/>
  <c r="AI53" i="34"/>
  <c r="AI20" i="33"/>
  <c r="AI16" i="33"/>
  <c r="AI30" i="22"/>
  <c r="AI16" i="32"/>
  <c r="AI31" i="28"/>
  <c r="AI37" i="31"/>
  <c r="AI45" i="32"/>
  <c r="AI61" i="33"/>
  <c r="AI26" i="32"/>
  <c r="AI55" i="22"/>
  <c r="AI59" i="34"/>
  <c r="AI47" i="34"/>
  <c r="AI39" i="33"/>
  <c r="AI42" i="32"/>
  <c r="AO10" i="31"/>
  <c r="AI55" i="33"/>
  <c r="AI25" i="31"/>
  <c r="AI19" i="28"/>
  <c r="AI13" i="31"/>
  <c r="AI27" i="33"/>
  <c r="AI47" i="33"/>
  <c r="AI44" i="28"/>
  <c r="AI53" i="28"/>
  <c r="AI32" i="33"/>
  <c r="AI62" i="22"/>
  <c r="J21" i="2"/>
  <c r="J48" i="2"/>
  <c r="AI58" i="33"/>
  <c r="J15" i="2"/>
  <c r="AI38" i="31"/>
  <c r="AI49" i="33"/>
  <c r="J28" i="2"/>
  <c r="AI37" i="33"/>
  <c r="AI54" i="31"/>
  <c r="AI46" i="33"/>
  <c r="AI47" i="28"/>
  <c r="AI21" i="33"/>
  <c r="AI49" i="34"/>
  <c r="AI36" i="34"/>
  <c r="AI29" i="28"/>
  <c r="AI39" i="32"/>
  <c r="AI27" i="32"/>
  <c r="AI25" i="22"/>
  <c r="AI13" i="33"/>
  <c r="AI25" i="28"/>
  <c r="AI40" i="32"/>
  <c r="AO10" i="22"/>
  <c r="J50" i="2"/>
  <c r="AI21" i="31"/>
  <c r="AI39" i="22"/>
  <c r="J59" i="2"/>
  <c r="AI42" i="22"/>
  <c r="AI16" i="28"/>
  <c r="AI41" i="34"/>
  <c r="AI51" i="32"/>
  <c r="AI18" i="33"/>
  <c r="AI39" i="31"/>
  <c r="AI46" i="34"/>
  <c r="AI44" i="31"/>
  <c r="AI43" i="32"/>
  <c r="AI28" i="32"/>
  <c r="AI35" i="34"/>
  <c r="AI35" i="33"/>
  <c r="AI25" i="34"/>
  <c r="AI29" i="32"/>
  <c r="AI16" i="22"/>
  <c r="AI10" i="32"/>
  <c r="J36" i="2"/>
  <c r="AI54" i="33"/>
  <c r="AI47" i="32"/>
  <c r="AI15" i="34"/>
  <c r="AI58" i="22"/>
  <c r="AI14" i="33"/>
  <c r="J25" i="2"/>
  <c r="AI61" i="28"/>
  <c r="AI37" i="28"/>
  <c r="J13" i="2"/>
  <c r="AI30" i="32"/>
  <c r="AI41" i="32"/>
  <c r="AI57" i="33"/>
  <c r="AI22" i="22"/>
  <c r="AI19" i="32"/>
  <c r="AI45" i="33"/>
  <c r="AI39" i="28"/>
  <c r="AI52" i="22"/>
  <c r="AI54" i="34"/>
  <c r="J39" i="2"/>
  <c r="AI67" i="28"/>
  <c r="AI37" i="34"/>
  <c r="AI48" i="32"/>
  <c r="AI55" i="34"/>
  <c r="AI32" i="34"/>
  <c r="J20" i="2"/>
  <c r="AI30" i="33"/>
  <c r="J31" i="2"/>
  <c r="AI51" i="28"/>
  <c r="J41" i="2"/>
  <c r="AI58" i="32"/>
  <c r="AI44" i="34"/>
  <c r="AI63" i="34"/>
  <c r="AI12" i="31"/>
  <c r="J24" i="2"/>
  <c r="J18" i="2"/>
  <c r="AI43" i="31"/>
  <c r="AI17" i="33"/>
  <c r="AI51" i="31"/>
  <c r="AI16" i="31"/>
  <c r="J53" i="2"/>
  <c r="AI25" i="33"/>
  <c r="AI28" i="34"/>
  <c r="J30" i="2"/>
  <c r="AI56" i="28"/>
  <c r="AI37" i="22"/>
  <c r="AI24" i="28"/>
  <c r="AI44" i="33"/>
  <c r="AI50" i="22"/>
  <c r="AI30" i="28"/>
  <c r="AI51" i="22"/>
  <c r="AI36" i="32"/>
  <c r="AI15" i="22"/>
  <c r="AI44" i="32"/>
  <c r="AI29" i="34"/>
  <c r="AI45" i="22"/>
  <c r="AI36" i="22"/>
  <c r="J42" i="2"/>
  <c r="AI40" i="28"/>
  <c r="AI17" i="31"/>
  <c r="AI24" i="31"/>
  <c r="AI56" i="32"/>
  <c r="AI50" i="32"/>
  <c r="AI20" i="31"/>
  <c r="AI63" i="31"/>
  <c r="AI34" i="28"/>
  <c r="AI59" i="28"/>
  <c r="AI56" i="31"/>
  <c r="AI19" i="34"/>
  <c r="AI14" i="31"/>
  <c r="J49" i="2"/>
  <c r="AI49" i="31"/>
  <c r="AI60" i="33"/>
  <c r="AI68" i="28"/>
  <c r="AI17" i="28"/>
  <c r="J26" i="2"/>
  <c r="AI33" i="28"/>
  <c r="AI54" i="28"/>
  <c r="AI52" i="33"/>
  <c r="AI29" i="33"/>
  <c r="AI44" i="22"/>
  <c r="AI40" i="31"/>
  <c r="J52" i="2"/>
  <c r="AI48" i="22"/>
  <c r="AI11" i="32"/>
  <c r="J29" i="2"/>
  <c r="AO11" i="22"/>
  <c r="AI15" i="31"/>
  <c r="AI18" i="22"/>
  <c r="AI23" i="34"/>
  <c r="AI60" i="34"/>
  <c r="AI24" i="22"/>
  <c r="AI26" i="34"/>
  <c r="AI63" i="28"/>
  <c r="AI38" i="33"/>
  <c r="J58" i="2"/>
  <c r="AI24" i="34"/>
  <c r="AI18" i="31"/>
  <c r="AI27" i="34"/>
  <c r="J40" i="2"/>
  <c r="AI20" i="28"/>
  <c r="AI28" i="31"/>
  <c r="AI59" i="22"/>
  <c r="AI48" i="33"/>
  <c r="AI40" i="33"/>
  <c r="AI61" i="32"/>
  <c r="AI14" i="34"/>
  <c r="AI35" i="31"/>
  <c r="AI57" i="34"/>
  <c r="AI31" i="31"/>
  <c r="AI55" i="31"/>
  <c r="AI49" i="32"/>
  <c r="AO12" i="22"/>
  <c r="AI40" i="34"/>
  <c r="J54" i="2"/>
  <c r="AI46" i="31"/>
  <c r="J57" i="2"/>
  <c r="AI57" i="22"/>
  <c r="AI66" i="28"/>
  <c r="AI53" i="31"/>
  <c r="AI46" i="32"/>
  <c r="AI63" i="32"/>
  <c r="AI41" i="33"/>
  <c r="AI70" i="28"/>
  <c r="AI14" i="32"/>
  <c r="J37" i="2"/>
  <c r="AI12" i="34"/>
  <c r="AI27" i="31"/>
  <c r="AI38" i="28"/>
  <c r="J17" i="2"/>
  <c r="J19" i="2"/>
  <c r="AI42" i="31"/>
  <c r="AI45" i="34"/>
  <c r="AI12" i="33"/>
  <c r="AI24" i="32"/>
  <c r="AI23" i="32"/>
  <c r="AI46" i="28"/>
  <c r="AI20" i="22"/>
  <c r="J56" i="2"/>
  <c r="AI33" i="31"/>
  <c r="AI55" i="28"/>
  <c r="AI31" i="33"/>
  <c r="AI39" i="34"/>
  <c r="AI26" i="31"/>
  <c r="J16" i="2"/>
  <c r="AI35" i="28"/>
  <c r="AO12" i="31"/>
  <c r="AI24" i="33"/>
  <c r="AI47" i="22"/>
  <c r="AI20" i="32"/>
  <c r="AI62" i="33"/>
  <c r="AI56" i="33"/>
  <c r="J32" i="2"/>
  <c r="AI61" i="22"/>
  <c r="AI55" i="32"/>
  <c r="J12" i="2"/>
  <c r="AI12" i="32"/>
  <c r="AO11" i="31"/>
  <c r="AI9" i="32"/>
  <c r="AI51" i="34"/>
  <c r="AI50" i="34"/>
  <c r="AI57" i="31"/>
  <c r="AI33" i="34"/>
  <c r="AI34" i="31"/>
  <c r="AI60" i="31"/>
  <c r="AI11" i="31"/>
  <c r="AI18" i="28"/>
  <c r="AI23" i="22"/>
  <c r="AI43" i="22"/>
  <c r="J22" i="2"/>
  <c r="AI50" i="33"/>
  <c r="AI48" i="31"/>
  <c r="AI47" i="31"/>
  <c r="AI22" i="34"/>
  <c r="AI54" i="32"/>
  <c r="AI17" i="22"/>
  <c r="AI46" i="22"/>
  <c r="AI28" i="28"/>
  <c r="AI10" i="22"/>
  <c r="J47" i="2"/>
  <c r="AI42" i="33"/>
  <c r="AI40" i="22"/>
  <c r="AI30" i="31"/>
  <c r="AI62" i="31"/>
  <c r="AI22" i="32"/>
  <c r="AI12" i="22"/>
  <c r="AI59" i="31"/>
  <c r="AI58" i="34"/>
  <c r="AI33" i="22"/>
  <c r="AI11" i="34"/>
  <c r="AI61" i="31"/>
  <c r="AI31" i="32"/>
  <c r="AI54" i="22"/>
  <c r="AI15" i="32"/>
  <c r="AI34" i="34"/>
  <c r="AI64" i="28"/>
  <c r="AI41" i="28"/>
  <c r="J35" i="2"/>
  <c r="AI28" i="22"/>
  <c r="AI16" i="34"/>
  <c r="AI19" i="22"/>
  <c r="AI19" i="33"/>
  <c r="AI48" i="28"/>
  <c r="AI26" i="33"/>
  <c r="AI69" i="28"/>
  <c r="AI38" i="34"/>
  <c r="AI60" i="32"/>
  <c r="AI32" i="22"/>
  <c r="AI23" i="31"/>
  <c r="AI63" i="22"/>
  <c r="AI36" i="28"/>
  <c r="AI26" i="22"/>
  <c r="AI18" i="34"/>
  <c r="AI32" i="32"/>
  <c r="AI48" i="34"/>
  <c r="AI51" i="33"/>
  <c r="J38" i="2"/>
  <c r="AI57" i="32"/>
  <c r="AI52" i="31"/>
  <c r="AI53" i="22"/>
  <c r="AI32" i="31"/>
  <c r="AI49" i="22"/>
  <c r="AI27" i="28"/>
  <c r="AI50" i="31"/>
  <c r="AI20" i="34"/>
  <c r="AI22" i="33"/>
  <c r="AI29" i="22"/>
  <c r="AI58" i="28"/>
  <c r="AI21" i="22"/>
  <c r="AI17" i="32"/>
  <c r="AI10" i="33"/>
  <c r="AI45" i="28"/>
  <c r="AI34" i="33"/>
  <c r="AI43" i="33"/>
  <c r="AI56" i="34"/>
  <c r="AI21" i="28"/>
  <c r="AI57" i="28"/>
  <c r="AI59" i="32"/>
  <c r="AI11" i="22"/>
  <c r="AI33" i="33"/>
  <c r="AI18" i="32"/>
  <c r="J34" i="2"/>
  <c r="AI43" i="28"/>
  <c r="J44" i="2"/>
  <c r="J23" i="2"/>
  <c r="AI41" i="31"/>
  <c r="AI21" i="32"/>
  <c r="AI32" i="28"/>
  <c r="AI31" i="22"/>
  <c r="AI52" i="34"/>
  <c r="AI30" i="34"/>
  <c r="AI11" i="33"/>
  <c r="AI65" i="28"/>
  <c r="AI29" i="31"/>
  <c r="AI22" i="28"/>
  <c r="AI60" i="22"/>
  <c r="AI26" i="28"/>
  <c r="AI53" i="33"/>
  <c r="AI62" i="32"/>
  <c r="J33" i="2"/>
  <c r="AI13" i="22"/>
  <c r="AI59" i="33"/>
  <c r="AI33" i="32"/>
  <c r="AI17" i="34"/>
  <c r="AI49" i="28"/>
  <c r="AI41" i="22"/>
  <c r="AI31" i="34"/>
  <c r="AI62" i="34"/>
  <c r="AI25" i="32"/>
  <c r="J55" i="2"/>
  <c r="AI50" i="28"/>
  <c r="AI14" i="22"/>
  <c r="AI37" i="32"/>
  <c r="J27" i="2"/>
  <c r="AI34" i="22"/>
  <c r="AI52" i="32"/>
  <c r="AI10" i="34"/>
  <c r="AI60" i="28"/>
  <c r="AI36" i="31"/>
  <c r="AI42" i="34"/>
  <c r="AI38" i="32"/>
  <c r="AI63" i="33"/>
  <c r="AI23" i="28"/>
  <c r="J45" i="2"/>
  <c r="AI13" i="32"/>
  <c r="J14" i="2"/>
  <c r="AI28" i="33"/>
  <c r="AI52" i="28"/>
  <c r="AI35" i="32"/>
  <c r="AI61" i="34"/>
  <c r="P12" i="2"/>
  <c r="AO39" i="22"/>
  <c r="AO48" i="31"/>
  <c r="AO40" i="22"/>
  <c r="AO29" i="22"/>
  <c r="AO63" i="22"/>
  <c r="AO48" i="34"/>
  <c r="AO14" i="33"/>
  <c r="AO40" i="34"/>
  <c r="AO38" i="33"/>
  <c r="AO35" i="31"/>
  <c r="AO57" i="34"/>
  <c r="AO38" i="34"/>
  <c r="AO21" i="31"/>
  <c r="AO40" i="32"/>
  <c r="AO20" i="33"/>
  <c r="AO27" i="22"/>
  <c r="AO10" i="33"/>
  <c r="AO63" i="31"/>
  <c r="AO23" i="33"/>
  <c r="AO31" i="22"/>
  <c r="AO44" i="32"/>
  <c r="P55" i="2"/>
  <c r="AO33" i="31"/>
  <c r="AO26" i="34"/>
  <c r="AO29" i="32"/>
  <c r="AO61" i="34"/>
  <c r="AO56" i="31"/>
  <c r="AO19" i="33"/>
  <c r="AO58" i="22"/>
  <c r="AO37" i="34"/>
  <c r="AO20" i="31"/>
  <c r="P17" i="2"/>
  <c r="P39" i="2"/>
  <c r="AO51" i="22"/>
  <c r="AO62" i="34"/>
  <c r="AO10" i="34"/>
  <c r="AO57" i="31"/>
  <c r="AO52" i="22"/>
  <c r="AO37" i="22"/>
  <c r="AO51" i="33"/>
  <c r="AO42" i="22"/>
  <c r="AO37" i="31"/>
  <c r="AO55" i="22"/>
  <c r="AO16" i="32"/>
  <c r="AO56" i="22"/>
  <c r="AO52" i="31"/>
  <c r="AO25" i="32"/>
  <c r="AO62" i="32"/>
  <c r="AO12" i="32"/>
  <c r="AO9" i="32"/>
  <c r="AO13" i="31"/>
  <c r="P38" i="2"/>
  <c r="AO24" i="22"/>
  <c r="AO36" i="34"/>
  <c r="AO16" i="33"/>
  <c r="AO47" i="34"/>
  <c r="P27" i="2"/>
  <c r="AO24" i="33"/>
  <c r="AO30" i="33"/>
  <c r="P25" i="2"/>
  <c r="P47" i="2"/>
  <c r="AO21" i="22"/>
  <c r="AO50" i="32"/>
  <c r="AO64" i="34"/>
  <c r="AO46" i="22"/>
  <c r="AO44" i="34"/>
  <c r="AO33" i="33"/>
  <c r="AO25" i="34"/>
  <c r="AO10" i="32"/>
  <c r="AO30" i="22"/>
  <c r="AO15" i="33"/>
  <c r="AO60" i="31"/>
  <c r="AO12" i="34"/>
  <c r="AO46" i="32"/>
  <c r="P20" i="2"/>
  <c r="AO62" i="22"/>
  <c r="AO41" i="32"/>
  <c r="AO21" i="34"/>
  <c r="AO49" i="34"/>
  <c r="AO34" i="33"/>
  <c r="AO42" i="34"/>
  <c r="AO61" i="31"/>
  <c r="AO24" i="32"/>
  <c r="AO52" i="33"/>
  <c r="AO17" i="31"/>
  <c r="AO45" i="31"/>
  <c r="AO18" i="34"/>
  <c r="AO18" i="22"/>
  <c r="AO30" i="34"/>
  <c r="AO24" i="34"/>
  <c r="AO43" i="31"/>
  <c r="AO26" i="22"/>
  <c r="P49" i="2"/>
  <c r="AO28" i="32"/>
  <c r="P16" i="2"/>
  <c r="P35" i="2"/>
  <c r="P50" i="2"/>
  <c r="AO49" i="31"/>
  <c r="AO39" i="33"/>
  <c r="P34" i="2"/>
  <c r="AO59" i="31"/>
  <c r="AO46" i="33"/>
  <c r="P24" i="2"/>
  <c r="AO33" i="32"/>
  <c r="P19" i="2"/>
  <c r="AO58" i="34"/>
  <c r="AO20" i="22"/>
  <c r="AO16" i="31"/>
  <c r="AO45" i="22"/>
  <c r="AO43" i="22"/>
  <c r="AO60" i="34"/>
  <c r="AO52" i="34"/>
  <c r="AO16" i="22"/>
  <c r="AO50" i="31"/>
  <c r="AO43" i="33"/>
  <c r="AO14" i="34"/>
  <c r="AO53" i="34"/>
  <c r="P23" i="2"/>
  <c r="AO20" i="34"/>
  <c r="AO57" i="22"/>
  <c r="P46" i="2"/>
  <c r="P48" i="2"/>
  <c r="AO55" i="33"/>
  <c r="AO28" i="33"/>
  <c r="AO44" i="33"/>
  <c r="P57" i="2"/>
  <c r="AO12" i="33"/>
  <c r="AO27" i="31"/>
  <c r="AO28" i="31"/>
  <c r="AO26" i="32"/>
  <c r="P33" i="2"/>
  <c r="AO50" i="33"/>
  <c r="AO61" i="22"/>
  <c r="AO13" i="22"/>
  <c r="AO53" i="32"/>
  <c r="AO22" i="32"/>
  <c r="AO55" i="34"/>
  <c r="AO25" i="31"/>
  <c r="AO38" i="32"/>
  <c r="AO32" i="34"/>
  <c r="AO11" i="33"/>
  <c r="AO56" i="32"/>
  <c r="AO25" i="22"/>
  <c r="AO58" i="32"/>
  <c r="AO44" i="31"/>
  <c r="AO49" i="32"/>
  <c r="AO34" i="32"/>
  <c r="AO13" i="32"/>
  <c r="AO50" i="34"/>
  <c r="AO22" i="22"/>
  <c r="P29" i="2"/>
  <c r="AO62" i="31"/>
  <c r="AO42" i="31"/>
  <c r="AO54" i="33"/>
  <c r="P21" i="2"/>
  <c r="AO56" i="33"/>
  <c r="AO57" i="32"/>
  <c r="AO36" i="32"/>
  <c r="AO19" i="22"/>
  <c r="AO45" i="32"/>
  <c r="AO22" i="33"/>
  <c r="AO33" i="22"/>
  <c r="AO59" i="22"/>
  <c r="AO40" i="31"/>
  <c r="P14" i="2"/>
  <c r="AO32" i="33"/>
  <c r="AO53" i="22"/>
  <c r="AO34" i="34"/>
  <c r="AO30" i="32"/>
  <c r="AO41" i="31"/>
  <c r="AO52" i="32"/>
  <c r="AO45" i="34"/>
  <c r="AO32" i="22"/>
  <c r="AO27" i="33"/>
  <c r="AO32" i="31"/>
  <c r="AO15" i="31"/>
  <c r="AO40" i="33"/>
  <c r="AO11" i="32"/>
  <c r="AO54" i="22"/>
  <c r="AO49" i="22"/>
  <c r="AO17" i="33"/>
  <c r="AO48" i="22"/>
  <c r="AO34" i="22"/>
  <c r="AO63" i="32"/>
  <c r="AO58" i="33"/>
  <c r="AO39" i="32"/>
  <c r="AO18" i="33"/>
  <c r="P28" i="2"/>
  <c r="AO57" i="33"/>
  <c r="AO54" i="32"/>
  <c r="P22" i="2"/>
  <c r="AO42" i="33"/>
  <c r="AO35" i="22"/>
  <c r="AO47" i="22"/>
  <c r="AO33" i="34"/>
  <c r="P52" i="2"/>
  <c r="AO36" i="33"/>
  <c r="AO37" i="33"/>
  <c r="AO31" i="33"/>
  <c r="AO17" i="22"/>
  <c r="AO38" i="22"/>
  <c r="AO29" i="31"/>
  <c r="AO63" i="34"/>
  <c r="AO25" i="33"/>
  <c r="AO17" i="34"/>
  <c r="AO43" i="32"/>
  <c r="AO55" i="32"/>
  <c r="AO13" i="34"/>
  <c r="AO42" i="32"/>
  <c r="AO62" i="33"/>
  <c r="AO28" i="34"/>
  <c r="AO29" i="33"/>
  <c r="AO47" i="31"/>
  <c r="AO24" i="31"/>
  <c r="P31" i="2"/>
  <c r="AO58" i="31"/>
  <c r="P37" i="2"/>
  <c r="AO15" i="34"/>
  <c r="P30" i="2"/>
  <c r="AO14" i="32"/>
  <c r="P53" i="2"/>
  <c r="AO16" i="34"/>
  <c r="AO41" i="33"/>
  <c r="P54" i="2"/>
  <c r="P59" i="2"/>
  <c r="AO46" i="31"/>
  <c r="AO54" i="31"/>
  <c r="AO43" i="34"/>
  <c r="AO59" i="33"/>
  <c r="AO23" i="34"/>
  <c r="AO21" i="32"/>
  <c r="AO22" i="31"/>
  <c r="AO14" i="31"/>
  <c r="P44" i="2"/>
  <c r="AO35" i="33"/>
  <c r="AO51" i="34"/>
  <c r="P40" i="2"/>
  <c r="P18" i="2"/>
  <c r="P56" i="2"/>
  <c r="P43" i="2"/>
  <c r="AO20" i="32"/>
  <c r="AO61" i="32"/>
  <c r="AO23" i="31"/>
  <c r="AO32" i="32"/>
  <c r="AO35" i="34"/>
  <c r="P51" i="2"/>
  <c r="P42" i="2"/>
  <c r="AO51" i="31"/>
  <c r="AO19" i="31"/>
  <c r="AO11" i="34"/>
  <c r="P41" i="2"/>
  <c r="AO36" i="31"/>
  <c r="AO44" i="22"/>
  <c r="AO27" i="32"/>
  <c r="AO23" i="32"/>
  <c r="P36" i="2"/>
  <c r="AO46" i="34"/>
  <c r="AO59" i="34"/>
  <c r="P45" i="2"/>
  <c r="AO50" i="22"/>
  <c r="AO34" i="31"/>
  <c r="AO55" i="31"/>
  <c r="AO28" i="22"/>
  <c r="AO31" i="31"/>
  <c r="P32" i="2"/>
  <c r="AO26" i="33"/>
  <c r="AO60" i="32"/>
  <c r="AO37" i="32"/>
  <c r="AO63" i="33"/>
  <c r="AO60" i="33"/>
  <c r="AO31" i="34"/>
  <c r="AO47" i="33"/>
  <c r="AO54" i="34"/>
  <c r="AO51" i="32"/>
  <c r="AO59" i="32"/>
  <c r="AO14" i="22"/>
  <c r="AO36" i="22"/>
  <c r="P15" i="2"/>
  <c r="AO18" i="32"/>
  <c r="AO53" i="31"/>
  <c r="AO18" i="31"/>
  <c r="AO29" i="34"/>
  <c r="AO41" i="22"/>
  <c r="AO22" i="34"/>
  <c r="AO17" i="32"/>
  <c r="AO48" i="33"/>
  <c r="AO48" i="32"/>
  <c r="AO56" i="34"/>
  <c r="AO21" i="33"/>
  <c r="AO49" i="33"/>
  <c r="P13" i="2"/>
  <c r="P26" i="2"/>
  <c r="AO19" i="32"/>
  <c r="AO30" i="31"/>
  <c r="AO61" i="33"/>
  <c r="P58" i="2"/>
  <c r="AO23" i="22"/>
  <c r="AO60" i="22"/>
  <c r="AO26" i="31"/>
  <c r="AO15" i="32"/>
  <c r="AO35" i="32"/>
  <c r="AO13" i="33"/>
  <c r="AO19" i="34"/>
  <c r="AO39" i="31"/>
  <c r="AO38" i="31"/>
  <c r="AO47" i="32"/>
  <c r="AO31" i="32"/>
  <c r="AO53" i="33"/>
  <c r="AO15" i="22"/>
  <c r="AO39" i="34"/>
  <c r="AO45" i="33"/>
  <c r="AO27" i="34"/>
  <c r="AO41" i="34"/>
  <c r="B706" i="26"/>
  <c r="E706" i="26"/>
  <c r="AL84" i="32" l="1"/>
  <c r="AK84" i="32"/>
  <c r="AN84" i="32"/>
  <c r="AJ84" i="32"/>
  <c r="AM84" i="32"/>
  <c r="AL58" i="50"/>
  <c r="AJ58" i="50"/>
  <c r="AK58" i="50"/>
  <c r="AM58" i="50"/>
  <c r="AN58" i="50"/>
  <c r="AM51" i="50"/>
  <c r="AN51" i="50"/>
  <c r="AL51" i="50"/>
  <c r="AK51" i="50"/>
  <c r="AJ51" i="50"/>
  <c r="AK40" i="47"/>
  <c r="AN40" i="47"/>
  <c r="AJ40" i="47"/>
  <c r="AM40" i="47"/>
  <c r="AL40" i="47"/>
  <c r="M81" i="2"/>
  <c r="K81" i="2"/>
  <c r="AK72" i="47"/>
  <c r="AL72" i="47"/>
  <c r="AN72" i="47"/>
  <c r="AJ72" i="47"/>
  <c r="AM72" i="47"/>
  <c r="AN38" i="47"/>
  <c r="AL38" i="47"/>
  <c r="AK38" i="47"/>
  <c r="AM38" i="47"/>
  <c r="AJ38" i="47"/>
  <c r="AL77" i="31"/>
  <c r="AK77" i="31"/>
  <c r="AM77" i="31"/>
  <c r="AJ77" i="31"/>
  <c r="AN77" i="31"/>
  <c r="AJ19" i="53"/>
  <c r="AN19" i="53"/>
  <c r="AK19" i="53"/>
  <c r="AM19" i="53"/>
  <c r="AL19" i="53"/>
  <c r="M101" i="2"/>
  <c r="K101" i="2"/>
  <c r="AN74" i="52"/>
  <c r="AK74" i="52"/>
  <c r="AL74" i="52"/>
  <c r="AM74" i="52"/>
  <c r="AJ74" i="52"/>
  <c r="K63" i="2"/>
  <c r="M63" i="2"/>
  <c r="AL37" i="49"/>
  <c r="AJ37" i="49"/>
  <c r="AM37" i="49"/>
  <c r="AK37" i="49"/>
  <c r="AN37" i="49"/>
  <c r="AN99" i="48"/>
  <c r="AJ99" i="48"/>
  <c r="AM99" i="48"/>
  <c r="AL99" i="48"/>
  <c r="AK99" i="48"/>
  <c r="K102" i="2"/>
  <c r="M102" i="2"/>
  <c r="AK41" i="44"/>
  <c r="AL41" i="44"/>
  <c r="AJ41" i="44"/>
  <c r="AN41" i="44"/>
  <c r="AM41" i="44"/>
  <c r="AN12" i="44"/>
  <c r="AK12" i="44"/>
  <c r="AL12" i="44"/>
  <c r="AM12" i="44"/>
  <c r="AJ12" i="44"/>
  <c r="AM21" i="50"/>
  <c r="AN21" i="50"/>
  <c r="AK21" i="50"/>
  <c r="AJ21" i="50"/>
  <c r="AL21" i="50"/>
  <c r="AK71" i="22"/>
  <c r="AM71" i="22"/>
  <c r="AN71" i="22"/>
  <c r="AL71" i="22"/>
  <c r="AJ71" i="22"/>
  <c r="AK103" i="31"/>
  <c r="AL103" i="31"/>
  <c r="AM103" i="31"/>
  <c r="AJ103" i="31"/>
  <c r="AN103" i="31"/>
  <c r="AL40" i="52"/>
  <c r="AM40" i="52"/>
  <c r="AJ40" i="52"/>
  <c r="AN40" i="52"/>
  <c r="AK40" i="52"/>
  <c r="AJ105" i="32"/>
  <c r="AL105" i="32"/>
  <c r="AM105" i="32"/>
  <c r="AN105" i="32"/>
  <c r="AK105" i="32"/>
  <c r="M68" i="2"/>
  <c r="K68" i="2"/>
  <c r="AM26" i="50"/>
  <c r="AL26" i="50"/>
  <c r="AK26" i="50"/>
  <c r="AJ26" i="50"/>
  <c r="AN26" i="50"/>
  <c r="AM102" i="48"/>
  <c r="AN102" i="48"/>
  <c r="AK102" i="48"/>
  <c r="AL102" i="48"/>
  <c r="AJ102" i="48"/>
  <c r="AJ70" i="31"/>
  <c r="AL70" i="31"/>
  <c r="AK70" i="31"/>
  <c r="AM70" i="31"/>
  <c r="AN70" i="31"/>
  <c r="AK106" i="32"/>
  <c r="AL106" i="32"/>
  <c r="AN106" i="32"/>
  <c r="AM106" i="32"/>
  <c r="AJ106" i="32"/>
  <c r="AM96" i="33"/>
  <c r="AN96" i="33"/>
  <c r="AJ96" i="33"/>
  <c r="AL96" i="33"/>
  <c r="AK96" i="33"/>
  <c r="AJ72" i="51"/>
  <c r="AL72" i="51"/>
  <c r="AK72" i="51"/>
  <c r="AM72" i="51"/>
  <c r="AN72" i="51"/>
  <c r="AL52" i="49"/>
  <c r="AK52" i="49"/>
  <c r="AN52" i="49"/>
  <c r="AM52" i="49"/>
  <c r="AJ52" i="49"/>
  <c r="AM103" i="52"/>
  <c r="AK103" i="52"/>
  <c r="AL103" i="52"/>
  <c r="AN103" i="52"/>
  <c r="AJ103" i="52"/>
  <c r="AM63" i="48"/>
  <c r="AN63" i="48"/>
  <c r="AL63" i="48"/>
  <c r="AJ63" i="48"/>
  <c r="AK63" i="48"/>
  <c r="AL13" i="44"/>
  <c r="AM13" i="44"/>
  <c r="AJ13" i="44"/>
  <c r="AN13" i="44"/>
  <c r="AK13" i="44"/>
  <c r="AL67" i="46"/>
  <c r="AK67" i="46"/>
  <c r="AN67" i="46"/>
  <c r="AM67" i="46"/>
  <c r="AJ67" i="46"/>
  <c r="AN91" i="34"/>
  <c r="AJ91" i="34"/>
  <c r="AM91" i="34"/>
  <c r="AK91" i="34"/>
  <c r="AL91" i="34"/>
  <c r="AL76" i="53"/>
  <c r="AK76" i="53"/>
  <c r="AJ76" i="53"/>
  <c r="AM76" i="53"/>
  <c r="AN76" i="53"/>
  <c r="AM98" i="47"/>
  <c r="AJ98" i="47"/>
  <c r="AK98" i="47"/>
  <c r="AN98" i="47"/>
  <c r="AL98" i="47"/>
  <c r="K79" i="2"/>
  <c r="M79" i="2"/>
  <c r="AL52" i="48"/>
  <c r="AN52" i="48"/>
  <c r="AM52" i="48"/>
  <c r="AK52" i="48"/>
  <c r="AJ52" i="48"/>
  <c r="M97" i="2"/>
  <c r="K97" i="2"/>
  <c r="AK86" i="46"/>
  <c r="AL86" i="46"/>
  <c r="AN86" i="46"/>
  <c r="AJ86" i="46"/>
  <c r="AM86" i="46"/>
  <c r="AK66" i="49"/>
  <c r="AM66" i="49"/>
  <c r="AJ66" i="49"/>
  <c r="AL66" i="49"/>
  <c r="AN66" i="49"/>
  <c r="AM41" i="49"/>
  <c r="AL41" i="49"/>
  <c r="AJ41" i="49"/>
  <c r="AN41" i="49"/>
  <c r="AK41" i="49"/>
  <c r="AL61" i="48"/>
  <c r="AM61" i="48"/>
  <c r="AN61" i="48"/>
  <c r="AK61" i="48"/>
  <c r="AJ61" i="48"/>
  <c r="AM102" i="52"/>
  <c r="AJ102" i="52"/>
  <c r="AN102" i="52"/>
  <c r="AK102" i="52"/>
  <c r="AL102" i="52"/>
  <c r="AM84" i="34"/>
  <c r="AJ84" i="34"/>
  <c r="AN84" i="34"/>
  <c r="AK84" i="34"/>
  <c r="AL84" i="34"/>
  <c r="AJ77" i="53"/>
  <c r="AL77" i="53"/>
  <c r="AK77" i="53"/>
  <c r="AM77" i="53"/>
  <c r="AN77" i="53"/>
  <c r="AN64" i="48"/>
  <c r="AL64" i="48"/>
  <c r="AJ64" i="48"/>
  <c r="AM64" i="48"/>
  <c r="AK64" i="48"/>
  <c r="AN61" i="47"/>
  <c r="AM61" i="47"/>
  <c r="AK61" i="47"/>
  <c r="AJ61" i="47"/>
  <c r="AL61" i="47"/>
  <c r="AN91" i="22"/>
  <c r="AL91" i="22"/>
  <c r="AM91" i="22"/>
  <c r="AJ91" i="22"/>
  <c r="AK91" i="22"/>
  <c r="AM101" i="48"/>
  <c r="AJ101" i="48"/>
  <c r="AN101" i="48"/>
  <c r="AL101" i="48"/>
  <c r="AK101" i="48"/>
  <c r="AK29" i="50"/>
  <c r="AL29" i="50"/>
  <c r="AM29" i="50"/>
  <c r="AJ29" i="50"/>
  <c r="AN29" i="50"/>
  <c r="AJ102" i="50"/>
  <c r="AN102" i="50"/>
  <c r="AL102" i="50"/>
  <c r="AM102" i="50"/>
  <c r="AK102" i="50"/>
  <c r="AL105" i="52"/>
  <c r="AN105" i="52"/>
  <c r="AJ105" i="52"/>
  <c r="AK105" i="52"/>
  <c r="AM105" i="52"/>
  <c r="AM85" i="48"/>
  <c r="AJ85" i="48"/>
  <c r="AN85" i="48"/>
  <c r="AL85" i="48"/>
  <c r="AK85" i="48"/>
  <c r="AM66" i="47"/>
  <c r="AN66" i="47"/>
  <c r="AK66" i="47"/>
  <c r="AJ66" i="47"/>
  <c r="AL66" i="47"/>
  <c r="AN94" i="22"/>
  <c r="AK94" i="22"/>
  <c r="AM94" i="22"/>
  <c r="AJ94" i="22"/>
  <c r="AL94" i="22"/>
  <c r="AK107" i="32"/>
  <c r="AL107" i="32"/>
  <c r="AM107" i="32"/>
  <c r="AJ107" i="32"/>
  <c r="AN107" i="32"/>
  <c r="AL30" i="49"/>
  <c r="AK30" i="49"/>
  <c r="AM30" i="49"/>
  <c r="AJ30" i="49"/>
  <c r="AN30" i="49"/>
  <c r="AJ83" i="22"/>
  <c r="AM83" i="22"/>
  <c r="AK83" i="22"/>
  <c r="AN83" i="22"/>
  <c r="AL83" i="22"/>
  <c r="AM29" i="52"/>
  <c r="AN29" i="52"/>
  <c r="AL29" i="52"/>
  <c r="AK29" i="52"/>
  <c r="AJ29" i="52"/>
  <c r="AK62" i="52"/>
  <c r="AL62" i="52"/>
  <c r="AM62" i="52"/>
  <c r="AJ62" i="52"/>
  <c r="AN62" i="52"/>
  <c r="AJ97" i="44"/>
  <c r="AN97" i="44"/>
  <c r="AL97" i="44"/>
  <c r="AK97" i="44"/>
  <c r="AM97" i="44"/>
  <c r="AJ46" i="45"/>
  <c r="AL46" i="45"/>
  <c r="AM46" i="45"/>
  <c r="AN46" i="45"/>
  <c r="AK46" i="45"/>
  <c r="AM66" i="52"/>
  <c r="AN66" i="52"/>
  <c r="AJ66" i="52"/>
  <c r="AK66" i="52"/>
  <c r="AL66" i="52"/>
  <c r="AL16" i="49"/>
  <c r="AM16" i="49"/>
  <c r="AK16" i="49"/>
  <c r="AN16" i="49"/>
  <c r="AJ16" i="49"/>
  <c r="AL30" i="51"/>
  <c r="AK30" i="51"/>
  <c r="AJ30" i="51"/>
  <c r="AM30" i="51"/>
  <c r="AN30" i="51"/>
  <c r="AL93" i="45"/>
  <c r="AK93" i="45"/>
  <c r="AM93" i="45"/>
  <c r="AN93" i="45"/>
  <c r="AJ93" i="45"/>
  <c r="AM86" i="48"/>
  <c r="AL86" i="48"/>
  <c r="AN86" i="48"/>
  <c r="AJ86" i="48"/>
  <c r="AK86" i="48"/>
  <c r="AJ93" i="49"/>
  <c r="AK93" i="49"/>
  <c r="AM93" i="49"/>
  <c r="AN93" i="49"/>
  <c r="AL93" i="49"/>
  <c r="AM11" i="50"/>
  <c r="AK11" i="50"/>
  <c r="AL11" i="50"/>
  <c r="AN11" i="50"/>
  <c r="AJ11" i="50"/>
  <c r="AN99" i="32"/>
  <c r="AM99" i="32"/>
  <c r="AK99" i="32"/>
  <c r="AL99" i="32"/>
  <c r="AJ99" i="32"/>
  <c r="AL22" i="52"/>
  <c r="AK22" i="52"/>
  <c r="AJ22" i="52"/>
  <c r="AN22" i="52"/>
  <c r="AM22" i="52"/>
  <c r="AL59" i="45"/>
  <c r="AN59" i="45"/>
  <c r="AJ59" i="45"/>
  <c r="AM59" i="45"/>
  <c r="AK59" i="45"/>
  <c r="AJ51" i="52"/>
  <c r="AL51" i="52"/>
  <c r="AM51" i="52"/>
  <c r="AK51" i="52"/>
  <c r="AN51" i="52"/>
  <c r="AJ66" i="50"/>
  <c r="AN66" i="50"/>
  <c r="AK66" i="50"/>
  <c r="AL66" i="50"/>
  <c r="AM66" i="50"/>
  <c r="AL81" i="50"/>
  <c r="AK81" i="50"/>
  <c r="AN81" i="50"/>
  <c r="AJ81" i="50"/>
  <c r="AM81" i="50"/>
  <c r="AJ99" i="44"/>
  <c r="AL99" i="44"/>
  <c r="AK99" i="44"/>
  <c r="AN99" i="44"/>
  <c r="AM99" i="44"/>
  <c r="AM101" i="45"/>
  <c r="AK101" i="45"/>
  <c r="AN101" i="45"/>
  <c r="AJ101" i="45"/>
  <c r="AL101" i="45"/>
  <c r="AM42" i="50"/>
  <c r="AK42" i="50"/>
  <c r="AJ42" i="50"/>
  <c r="AN42" i="50"/>
  <c r="AL42" i="50"/>
  <c r="AL68" i="34"/>
  <c r="AM68" i="34"/>
  <c r="AN68" i="34"/>
  <c r="AK68" i="34"/>
  <c r="AJ68" i="34"/>
  <c r="AL80" i="46"/>
  <c r="AN80" i="46"/>
  <c r="AK80" i="46"/>
  <c r="AM80" i="46"/>
  <c r="AJ80" i="46"/>
  <c r="AJ103" i="48"/>
  <c r="AM103" i="48"/>
  <c r="AN103" i="48"/>
  <c r="AL103" i="48"/>
  <c r="AK103" i="48"/>
  <c r="AJ61" i="53"/>
  <c r="AK61" i="53"/>
  <c r="AM61" i="53"/>
  <c r="AL61" i="53"/>
  <c r="AN61" i="53"/>
  <c r="AN69" i="50"/>
  <c r="AM69" i="50"/>
  <c r="AJ69" i="50"/>
  <c r="AL69" i="50"/>
  <c r="AK69" i="50"/>
  <c r="AM57" i="44"/>
  <c r="AJ57" i="44"/>
  <c r="AN57" i="44"/>
  <c r="AL57" i="44"/>
  <c r="AK57" i="44"/>
  <c r="M84" i="2"/>
  <c r="K84" i="2"/>
  <c r="AM88" i="52"/>
  <c r="AN88" i="52"/>
  <c r="AJ88" i="52"/>
  <c r="AK88" i="52"/>
  <c r="AL88" i="52"/>
  <c r="AM100" i="50"/>
  <c r="AL100" i="50"/>
  <c r="AN100" i="50"/>
  <c r="AK100" i="50"/>
  <c r="AJ100" i="50"/>
  <c r="AK86" i="50"/>
  <c r="AJ86" i="50"/>
  <c r="AN86" i="50"/>
  <c r="AL86" i="50"/>
  <c r="AM86" i="50"/>
  <c r="AK79" i="51"/>
  <c r="AN79" i="51"/>
  <c r="AJ79" i="51"/>
  <c r="AM79" i="51"/>
  <c r="AL79" i="51"/>
  <c r="AN28" i="52"/>
  <c r="AK28" i="52"/>
  <c r="AJ28" i="52"/>
  <c r="AM28" i="52"/>
  <c r="AL28" i="52"/>
  <c r="AM57" i="48"/>
  <c r="AN57" i="48"/>
  <c r="AK57" i="48"/>
  <c r="AL57" i="48"/>
  <c r="AJ57" i="48"/>
  <c r="AK54" i="50"/>
  <c r="AM54" i="50"/>
  <c r="AJ54" i="50"/>
  <c r="AN54" i="50"/>
  <c r="AL54" i="50"/>
  <c r="AJ55" i="51"/>
  <c r="AM55" i="51"/>
  <c r="AK55" i="51"/>
  <c r="AL55" i="51"/>
  <c r="AN55" i="51"/>
  <c r="AK72" i="22"/>
  <c r="AM72" i="22"/>
  <c r="AL72" i="22"/>
  <c r="AJ72" i="22"/>
  <c r="AN72" i="22"/>
  <c r="AM66" i="48"/>
  <c r="AK66" i="48"/>
  <c r="AN66" i="48"/>
  <c r="AL66" i="48"/>
  <c r="AJ66" i="48"/>
  <c r="AK95" i="53"/>
  <c r="AL95" i="53"/>
  <c r="AJ95" i="53"/>
  <c r="AN95" i="53"/>
  <c r="AM95" i="53"/>
  <c r="AN49" i="49"/>
  <c r="AL49" i="49"/>
  <c r="AJ49" i="49"/>
  <c r="AM49" i="49"/>
  <c r="AK49" i="49"/>
  <c r="AM37" i="53"/>
  <c r="AJ37" i="53"/>
  <c r="AL37" i="53"/>
  <c r="AN37" i="53"/>
  <c r="AK37" i="53"/>
  <c r="AM81" i="48"/>
  <c r="AL81" i="48"/>
  <c r="AJ81" i="48"/>
  <c r="AN81" i="48"/>
  <c r="AK81" i="48"/>
  <c r="AL13" i="51"/>
  <c r="AM13" i="51"/>
  <c r="AJ13" i="51"/>
  <c r="AK13" i="51"/>
  <c r="AN13" i="51"/>
  <c r="AN79" i="45"/>
  <c r="AM79" i="45"/>
  <c r="AL79" i="45"/>
  <c r="AK79" i="45"/>
  <c r="AJ79" i="45"/>
  <c r="AJ28" i="45"/>
  <c r="AM28" i="45"/>
  <c r="AN28" i="45"/>
  <c r="AL28" i="45"/>
  <c r="AK28" i="45"/>
  <c r="K105" i="2"/>
  <c r="M105" i="2"/>
  <c r="AK87" i="49"/>
  <c r="AN87" i="49"/>
  <c r="AL87" i="49"/>
  <c r="AM87" i="49"/>
  <c r="AJ87" i="49"/>
  <c r="AK68" i="48"/>
  <c r="AM68" i="48"/>
  <c r="AN68" i="48"/>
  <c r="AL68" i="48"/>
  <c r="AJ68" i="48"/>
  <c r="AM20" i="50"/>
  <c r="AL20" i="50"/>
  <c r="AJ20" i="50"/>
  <c r="AK20" i="50"/>
  <c r="AN20" i="50"/>
  <c r="AJ71" i="51"/>
  <c r="AN71" i="51"/>
  <c r="AL71" i="51"/>
  <c r="AK71" i="51"/>
  <c r="AM71" i="51"/>
  <c r="AN39" i="46"/>
  <c r="AJ39" i="46"/>
  <c r="AL39" i="46"/>
  <c r="AM39" i="46"/>
  <c r="AK39" i="46"/>
  <c r="AK101" i="53"/>
  <c r="AJ101" i="53"/>
  <c r="AN101" i="53"/>
  <c r="AM101" i="53"/>
  <c r="AL101" i="53"/>
  <c r="AM94" i="33"/>
  <c r="AN94" i="33"/>
  <c r="AJ94" i="33"/>
  <c r="AK94" i="33"/>
  <c r="AL94" i="33"/>
  <c r="AN42" i="44"/>
  <c r="AM42" i="44"/>
  <c r="AK42" i="44"/>
  <c r="AJ42" i="44"/>
  <c r="AL42" i="44"/>
  <c r="AK67" i="22"/>
  <c r="AM67" i="22"/>
  <c r="AL67" i="22"/>
  <c r="AJ67" i="22"/>
  <c r="AN67" i="22"/>
  <c r="AL68" i="32"/>
  <c r="AK68" i="32"/>
  <c r="AN68" i="32"/>
  <c r="AM68" i="32"/>
  <c r="AJ68" i="32"/>
  <c r="AJ96" i="44"/>
  <c r="AK96" i="44"/>
  <c r="AL96" i="44"/>
  <c r="AN96" i="44"/>
  <c r="AM96" i="44"/>
  <c r="AL49" i="48"/>
  <c r="AN49" i="48"/>
  <c r="AJ49" i="48"/>
  <c r="AK49" i="48"/>
  <c r="AM49" i="48"/>
  <c r="AM16" i="46"/>
  <c r="AN16" i="46"/>
  <c r="AL16" i="46"/>
  <c r="AK16" i="46"/>
  <c r="AJ16" i="46"/>
  <c r="AK107" i="31"/>
  <c r="AL107" i="31"/>
  <c r="AM107" i="31"/>
  <c r="AN107" i="31"/>
  <c r="AJ107" i="31"/>
  <c r="AJ51" i="45"/>
  <c r="AN51" i="45"/>
  <c r="AK51" i="45"/>
  <c r="AM51" i="45"/>
  <c r="AL51" i="45"/>
  <c r="AJ30" i="45"/>
  <c r="AK30" i="45"/>
  <c r="AN30" i="45"/>
  <c r="AL30" i="45"/>
  <c r="AM30" i="45"/>
  <c r="AJ72" i="48"/>
  <c r="AM72" i="48"/>
  <c r="AK72" i="48"/>
  <c r="AL72" i="48"/>
  <c r="AN72" i="48"/>
  <c r="AL104" i="49"/>
  <c r="AM104" i="49"/>
  <c r="AK104" i="49"/>
  <c r="AJ104" i="49"/>
  <c r="AN104" i="49"/>
  <c r="AM84" i="31"/>
  <c r="AL84" i="31"/>
  <c r="AN84" i="31"/>
  <c r="AK84" i="31"/>
  <c r="AJ84" i="31"/>
  <c r="AM17" i="44"/>
  <c r="AL17" i="44"/>
  <c r="AK17" i="44"/>
  <c r="AJ17" i="44"/>
  <c r="AN17" i="44"/>
  <c r="AN68" i="51"/>
  <c r="AJ68" i="51"/>
  <c r="AM68" i="51"/>
  <c r="AL68" i="51"/>
  <c r="AK68" i="51"/>
  <c r="AN77" i="48"/>
  <c r="AK77" i="48"/>
  <c r="AM77" i="48"/>
  <c r="AL77" i="48"/>
  <c r="AJ77" i="48"/>
  <c r="AN93" i="50"/>
  <c r="AM93" i="50"/>
  <c r="AJ93" i="50"/>
  <c r="AL93" i="50"/>
  <c r="AK93" i="50"/>
  <c r="AM68" i="31"/>
  <c r="AN68" i="31"/>
  <c r="AJ68" i="31"/>
  <c r="AL68" i="31"/>
  <c r="AK68" i="31"/>
  <c r="AK77" i="51"/>
  <c r="AM77" i="51"/>
  <c r="AN77" i="51"/>
  <c r="AJ77" i="51"/>
  <c r="AL77" i="51"/>
  <c r="AM33" i="51"/>
  <c r="AK33" i="51"/>
  <c r="AN33" i="51"/>
  <c r="AL33" i="51"/>
  <c r="AJ33" i="51"/>
  <c r="AL62" i="50"/>
  <c r="AJ62" i="50"/>
  <c r="AM62" i="50"/>
  <c r="AK62" i="50"/>
  <c r="AN62" i="50"/>
  <c r="AM88" i="22"/>
  <c r="AL88" i="22"/>
  <c r="AN88" i="22"/>
  <c r="AJ88" i="22"/>
  <c r="AK88" i="22"/>
  <c r="AJ32" i="51"/>
  <c r="AK32" i="51"/>
  <c r="AM32" i="51"/>
  <c r="AN32" i="51"/>
  <c r="AL32" i="51"/>
  <c r="AK34" i="50"/>
  <c r="AJ34" i="50"/>
  <c r="AL34" i="50"/>
  <c r="AN34" i="50"/>
  <c r="AM34" i="50"/>
  <c r="AN71" i="47"/>
  <c r="AL71" i="47"/>
  <c r="AK71" i="47"/>
  <c r="AJ71" i="47"/>
  <c r="AM71" i="47"/>
  <c r="AN42" i="45"/>
  <c r="AL42" i="45"/>
  <c r="AM42" i="45"/>
  <c r="AK42" i="45"/>
  <c r="AJ42" i="45"/>
  <c r="AM55" i="52"/>
  <c r="AN55" i="52"/>
  <c r="AK55" i="52"/>
  <c r="AL55" i="52"/>
  <c r="AJ55" i="52"/>
  <c r="AJ99" i="50"/>
  <c r="AK99" i="50"/>
  <c r="AM99" i="50"/>
  <c r="AN99" i="50"/>
  <c r="AL99" i="50"/>
  <c r="AJ42" i="49"/>
  <c r="AM42" i="49"/>
  <c r="AN42" i="49"/>
  <c r="AL42" i="49"/>
  <c r="AK42" i="49"/>
  <c r="AK46" i="53"/>
  <c r="AM46" i="53"/>
  <c r="AL46" i="53"/>
  <c r="AJ46" i="53"/>
  <c r="AN46" i="53"/>
  <c r="AL85" i="51"/>
  <c r="AM85" i="51"/>
  <c r="AJ85" i="51"/>
  <c r="AN85" i="51"/>
  <c r="AK85" i="51"/>
  <c r="AM35" i="52"/>
  <c r="AK35" i="52"/>
  <c r="AN35" i="52"/>
  <c r="AJ35" i="52"/>
  <c r="AL35" i="52"/>
  <c r="AK45" i="52"/>
  <c r="AJ45" i="52"/>
  <c r="AL45" i="52"/>
  <c r="AN45" i="52"/>
  <c r="AM45" i="52"/>
  <c r="AL88" i="49"/>
  <c r="AK88" i="49"/>
  <c r="AJ88" i="49"/>
  <c r="AM88" i="49"/>
  <c r="AN88" i="49"/>
  <c r="AM80" i="34"/>
  <c r="AJ80" i="34"/>
  <c r="AN80" i="34"/>
  <c r="AK80" i="34"/>
  <c r="AL80" i="34"/>
  <c r="AK98" i="50"/>
  <c r="AL98" i="50"/>
  <c r="AM98" i="50"/>
  <c r="AJ98" i="50"/>
  <c r="AN98" i="50"/>
  <c r="AM17" i="50"/>
  <c r="AK17" i="50"/>
  <c r="AN17" i="50"/>
  <c r="AJ17" i="50"/>
  <c r="AL17" i="50"/>
  <c r="AK32" i="48"/>
  <c r="AM32" i="48"/>
  <c r="AL32" i="48"/>
  <c r="AJ32" i="48"/>
  <c r="AN32" i="48"/>
  <c r="AK43" i="53"/>
  <c r="AN43" i="53"/>
  <c r="AL43" i="53"/>
  <c r="AM43" i="53"/>
  <c r="AJ43" i="53"/>
  <c r="AL108" i="48"/>
  <c r="AN108" i="48"/>
  <c r="AM108" i="48"/>
  <c r="AK108" i="48"/>
  <c r="AJ108" i="48"/>
  <c r="AK100" i="44"/>
  <c r="AM100" i="44"/>
  <c r="AJ100" i="44"/>
  <c r="AN100" i="44"/>
  <c r="AL100" i="44"/>
  <c r="AJ108" i="46"/>
  <c r="AM108" i="46"/>
  <c r="AK108" i="46"/>
  <c r="AN108" i="46"/>
  <c r="AL108" i="46"/>
  <c r="AK32" i="52"/>
  <c r="AL32" i="52"/>
  <c r="AM32" i="52"/>
  <c r="AN32" i="52"/>
  <c r="AJ32" i="52"/>
  <c r="AK84" i="22"/>
  <c r="AM84" i="22"/>
  <c r="AL84" i="22"/>
  <c r="AJ84" i="22"/>
  <c r="AN84" i="22"/>
  <c r="AL55" i="46"/>
  <c r="AM55" i="46"/>
  <c r="AN55" i="46"/>
  <c r="AK55" i="46"/>
  <c r="AJ55" i="46"/>
  <c r="AJ97" i="31"/>
  <c r="AK97" i="31"/>
  <c r="AM97" i="31"/>
  <c r="AN97" i="31"/>
  <c r="AL97" i="31"/>
  <c r="AK59" i="46"/>
  <c r="AN59" i="46"/>
  <c r="AL59" i="46"/>
  <c r="AJ59" i="46"/>
  <c r="AM59" i="46"/>
  <c r="K93" i="2"/>
  <c r="M93" i="2"/>
  <c r="AM81" i="32"/>
  <c r="AN81" i="32"/>
  <c r="AJ81" i="32"/>
  <c r="AL81" i="32"/>
  <c r="AK81" i="32"/>
  <c r="AJ72" i="50"/>
  <c r="AN72" i="50"/>
  <c r="AM72" i="50"/>
  <c r="AL72" i="50"/>
  <c r="AK72" i="50"/>
  <c r="AN72" i="44"/>
  <c r="AL72" i="44"/>
  <c r="AM72" i="44"/>
  <c r="AK72" i="44"/>
  <c r="AJ72" i="44"/>
  <c r="AN67" i="51"/>
  <c r="AK67" i="51"/>
  <c r="AL67" i="51"/>
  <c r="AM67" i="51"/>
  <c r="AJ67" i="51"/>
  <c r="AJ49" i="51"/>
  <c r="AN49" i="51"/>
  <c r="AL49" i="51"/>
  <c r="AM49" i="51"/>
  <c r="AK49" i="51"/>
  <c r="AN59" i="53"/>
  <c r="AM59" i="53"/>
  <c r="AJ59" i="53"/>
  <c r="AL59" i="53"/>
  <c r="AK59" i="53"/>
  <c r="AM24" i="51"/>
  <c r="AJ24" i="51"/>
  <c r="AN24" i="51"/>
  <c r="AK24" i="51"/>
  <c r="AL24" i="51"/>
  <c r="AJ15" i="52"/>
  <c r="AL15" i="52"/>
  <c r="AN15" i="52"/>
  <c r="AM15" i="52"/>
  <c r="AK15" i="52"/>
  <c r="AM55" i="48"/>
  <c r="AL55" i="48"/>
  <c r="AK55" i="48"/>
  <c r="AN55" i="48"/>
  <c r="AJ55" i="48"/>
  <c r="AM102" i="53"/>
  <c r="AL102" i="53"/>
  <c r="AN102" i="53"/>
  <c r="AK102" i="53"/>
  <c r="AJ102" i="53"/>
  <c r="AM64" i="44"/>
  <c r="AJ64" i="44"/>
  <c r="AK64" i="44"/>
  <c r="AL64" i="44"/>
  <c r="AN64" i="44"/>
  <c r="AL92" i="50"/>
  <c r="AM92" i="50"/>
  <c r="AN92" i="50"/>
  <c r="AJ92" i="50"/>
  <c r="AK92" i="50"/>
  <c r="AK96" i="49"/>
  <c r="AJ96" i="49"/>
  <c r="AL96" i="49"/>
  <c r="AN96" i="49"/>
  <c r="AM96" i="49"/>
  <c r="AJ39" i="47"/>
  <c r="AM39" i="47"/>
  <c r="AK39" i="47"/>
  <c r="AL39" i="47"/>
  <c r="AN39" i="47"/>
  <c r="AN100" i="52"/>
  <c r="AL100" i="52"/>
  <c r="AM100" i="52"/>
  <c r="AJ100" i="52"/>
  <c r="AK100" i="52"/>
  <c r="AJ106" i="51"/>
  <c r="AN106" i="51"/>
  <c r="AK106" i="51"/>
  <c r="AL106" i="51"/>
  <c r="AM106" i="51"/>
  <c r="AM17" i="47"/>
  <c r="AN17" i="47"/>
  <c r="AJ17" i="47"/>
  <c r="AL17" i="47"/>
  <c r="AK17" i="47"/>
  <c r="AL110" i="45"/>
  <c r="AN110" i="45"/>
  <c r="AJ110" i="45"/>
  <c r="AM110" i="45"/>
  <c r="AK110" i="45"/>
  <c r="AL70" i="22"/>
  <c r="AK70" i="22"/>
  <c r="AM70" i="22"/>
  <c r="AN70" i="22"/>
  <c r="AJ70" i="22"/>
  <c r="AK58" i="49"/>
  <c r="AL58" i="49"/>
  <c r="AJ58" i="49"/>
  <c r="AM58" i="49"/>
  <c r="AN58" i="49"/>
  <c r="AM83" i="49"/>
  <c r="AK83" i="49"/>
  <c r="AJ83" i="49"/>
  <c r="AL83" i="49"/>
  <c r="AN83" i="49"/>
  <c r="AM98" i="51"/>
  <c r="AK98" i="51"/>
  <c r="AJ98" i="51"/>
  <c r="AN98" i="51"/>
  <c r="AL98" i="51"/>
  <c r="AK87" i="22"/>
  <c r="AM87" i="22"/>
  <c r="AL87" i="22"/>
  <c r="AJ87" i="22"/>
  <c r="AN87" i="22"/>
  <c r="AN97" i="46"/>
  <c r="AL97" i="46"/>
  <c r="AK97" i="46"/>
  <c r="AM97" i="46"/>
  <c r="AJ97" i="46"/>
  <c r="AM38" i="48"/>
  <c r="AJ38" i="48"/>
  <c r="AN38" i="48"/>
  <c r="AK38" i="48"/>
  <c r="AL38" i="48"/>
  <c r="AL87" i="53"/>
  <c r="AM87" i="53"/>
  <c r="AK87" i="53"/>
  <c r="AJ87" i="53"/>
  <c r="AN87" i="53"/>
  <c r="AM63" i="44"/>
  <c r="AL63" i="44"/>
  <c r="AJ63" i="44"/>
  <c r="AN63" i="44"/>
  <c r="AK63" i="44"/>
  <c r="M60" i="2"/>
  <c r="K60" i="2"/>
  <c r="AL95" i="32"/>
  <c r="AK95" i="32"/>
  <c r="AM95" i="32"/>
  <c r="AJ95" i="32"/>
  <c r="AN95" i="32"/>
  <c r="AM89" i="33"/>
  <c r="AJ89" i="33"/>
  <c r="AN89" i="33"/>
  <c r="AL89" i="33"/>
  <c r="AK89" i="33"/>
  <c r="AM73" i="49"/>
  <c r="AL73" i="49"/>
  <c r="AJ73" i="49"/>
  <c r="AK73" i="49"/>
  <c r="AN73" i="49"/>
  <c r="AM65" i="34"/>
  <c r="AL65" i="34"/>
  <c r="AJ65" i="34"/>
  <c r="AK65" i="34"/>
  <c r="AN65" i="34"/>
  <c r="AL92" i="47"/>
  <c r="AN92" i="47"/>
  <c r="AK92" i="47"/>
  <c r="AJ92" i="47"/>
  <c r="AM92" i="47"/>
  <c r="AJ110" i="52"/>
  <c r="AN110" i="52"/>
  <c r="AK110" i="52"/>
  <c r="AL110" i="52"/>
  <c r="AM110" i="52"/>
  <c r="AM78" i="47"/>
  <c r="AN78" i="47"/>
  <c r="AK78" i="47"/>
  <c r="AJ78" i="47"/>
  <c r="AL78" i="47"/>
  <c r="AM28" i="49"/>
  <c r="AL28" i="49"/>
  <c r="AK28" i="49"/>
  <c r="AN28" i="49"/>
  <c r="AJ28" i="49"/>
  <c r="AN21" i="51"/>
  <c r="AK21" i="51"/>
  <c r="AL21" i="51"/>
  <c r="AJ21" i="51"/>
  <c r="AM21" i="51"/>
  <c r="AK91" i="31"/>
  <c r="AL91" i="31"/>
  <c r="AM91" i="31"/>
  <c r="AJ91" i="31"/>
  <c r="AN91" i="31"/>
  <c r="AM86" i="44"/>
  <c r="AN86" i="44"/>
  <c r="AL86" i="44"/>
  <c r="AK86" i="44"/>
  <c r="AJ86" i="44"/>
  <c r="AN88" i="46"/>
  <c r="AJ88" i="46"/>
  <c r="AM88" i="46"/>
  <c r="AL88" i="46"/>
  <c r="AK88" i="46"/>
  <c r="AN95" i="49"/>
  <c r="AK95" i="49"/>
  <c r="AJ95" i="49"/>
  <c r="AM95" i="49"/>
  <c r="AL95" i="49"/>
  <c r="AM65" i="52"/>
  <c r="AL65" i="52"/>
  <c r="AJ65" i="52"/>
  <c r="AK65" i="52"/>
  <c r="AN65" i="52"/>
  <c r="K66" i="2"/>
  <c r="M66" i="2"/>
  <c r="AK63" i="46"/>
  <c r="AL63" i="46"/>
  <c r="AJ63" i="46"/>
  <c r="AN63" i="46"/>
  <c r="AM63" i="46"/>
  <c r="AL29" i="53"/>
  <c r="AN29" i="53"/>
  <c r="AM29" i="53"/>
  <c r="AJ29" i="53"/>
  <c r="AK29" i="53"/>
  <c r="AN82" i="52"/>
  <c r="AM82" i="52"/>
  <c r="AK82" i="52"/>
  <c r="AL82" i="52"/>
  <c r="AJ82" i="52"/>
  <c r="AL53" i="45"/>
  <c r="AN53" i="45"/>
  <c r="AM53" i="45"/>
  <c r="AJ53" i="45"/>
  <c r="AK53" i="45"/>
  <c r="AM92" i="49"/>
  <c r="AN92" i="49"/>
  <c r="AJ92" i="49"/>
  <c r="AK92" i="49"/>
  <c r="AL92" i="49"/>
  <c r="AL98" i="48"/>
  <c r="AK98" i="48"/>
  <c r="AJ98" i="48"/>
  <c r="AN98" i="48"/>
  <c r="AM98" i="48"/>
  <c r="AJ23" i="49"/>
  <c r="AN23" i="49"/>
  <c r="AM23" i="49"/>
  <c r="AK23" i="49"/>
  <c r="AL23" i="49"/>
  <c r="AM74" i="50"/>
  <c r="AN74" i="50"/>
  <c r="AK74" i="50"/>
  <c r="AJ74" i="50"/>
  <c r="AL74" i="50"/>
  <c r="AK56" i="48"/>
  <c r="AN56" i="48"/>
  <c r="AL56" i="48"/>
  <c r="AM56" i="48"/>
  <c r="AJ56" i="48"/>
  <c r="AK110" i="46"/>
  <c r="AN110" i="46"/>
  <c r="AJ110" i="46"/>
  <c r="AM110" i="46"/>
  <c r="AL110" i="46"/>
  <c r="AJ22" i="51"/>
  <c r="AM22" i="51"/>
  <c r="AN22" i="51"/>
  <c r="AL22" i="51"/>
  <c r="AK22" i="51"/>
  <c r="AM91" i="44"/>
  <c r="AN91" i="44"/>
  <c r="AK91" i="44"/>
  <c r="AJ91" i="44"/>
  <c r="AL91" i="44"/>
  <c r="AM25" i="47"/>
  <c r="AJ25" i="47"/>
  <c r="AN25" i="47"/>
  <c r="AL25" i="47"/>
  <c r="AK25" i="47"/>
  <c r="AJ107" i="44"/>
  <c r="AK107" i="44"/>
  <c r="AL107" i="44"/>
  <c r="AN107" i="44"/>
  <c r="AM107" i="44"/>
  <c r="AN109" i="49"/>
  <c r="AJ109" i="49"/>
  <c r="AL109" i="49"/>
  <c r="AK109" i="49"/>
  <c r="AM109" i="49"/>
  <c r="AL41" i="47"/>
  <c r="AK41" i="47"/>
  <c r="AM41" i="47"/>
  <c r="AJ41" i="47"/>
  <c r="AN41" i="47"/>
  <c r="AL57" i="50"/>
  <c r="AJ57" i="50"/>
  <c r="AN57" i="50"/>
  <c r="AK57" i="50"/>
  <c r="AM57" i="50"/>
  <c r="AK98" i="49"/>
  <c r="AM98" i="49"/>
  <c r="AN98" i="49"/>
  <c r="AJ98" i="49"/>
  <c r="AL98" i="49"/>
  <c r="AN34" i="49"/>
  <c r="AL34" i="49"/>
  <c r="AK34" i="49"/>
  <c r="AM34" i="49"/>
  <c r="AJ34" i="49"/>
  <c r="AJ12" i="51"/>
  <c r="AL12" i="51"/>
  <c r="AM12" i="51"/>
  <c r="AN12" i="51"/>
  <c r="AK12" i="51"/>
  <c r="AL87" i="44"/>
  <c r="AN87" i="44"/>
  <c r="AM87" i="44"/>
  <c r="AJ87" i="44"/>
  <c r="AK87" i="44"/>
  <c r="AM101" i="51"/>
  <c r="AK101" i="51"/>
  <c r="AN101" i="51"/>
  <c r="AJ101" i="51"/>
  <c r="AL101" i="51"/>
  <c r="AJ19" i="44"/>
  <c r="AN19" i="44"/>
  <c r="AL19" i="44"/>
  <c r="AM19" i="44"/>
  <c r="AK19" i="44"/>
  <c r="AL27" i="47"/>
  <c r="AJ27" i="47"/>
  <c r="AM27" i="47"/>
  <c r="AN27" i="47"/>
  <c r="AK27" i="47"/>
  <c r="AM13" i="47"/>
  <c r="AK13" i="47"/>
  <c r="AN13" i="47"/>
  <c r="AJ13" i="47"/>
  <c r="AL13" i="47"/>
  <c r="AM41" i="48"/>
  <c r="AN41" i="48"/>
  <c r="AJ41" i="48"/>
  <c r="AK41" i="48"/>
  <c r="AL41" i="48"/>
  <c r="AN36" i="51"/>
  <c r="AL36" i="51"/>
  <c r="AM36" i="51"/>
  <c r="AJ36" i="51"/>
  <c r="AK36" i="51"/>
  <c r="AM29" i="46"/>
  <c r="AJ29" i="46"/>
  <c r="AL29" i="46"/>
  <c r="AN29" i="46"/>
  <c r="AK29" i="46"/>
  <c r="M64" i="2"/>
  <c r="K64" i="2"/>
  <c r="AM44" i="49"/>
  <c r="AN44" i="49"/>
  <c r="AL44" i="49"/>
  <c r="AK44" i="49"/>
  <c r="AJ44" i="49"/>
  <c r="AM25" i="51"/>
  <c r="AL25" i="51"/>
  <c r="AN25" i="51"/>
  <c r="AK25" i="51"/>
  <c r="AJ25" i="51"/>
  <c r="AK109" i="51"/>
  <c r="AL109" i="51"/>
  <c r="AN109" i="51"/>
  <c r="AM109" i="51"/>
  <c r="AJ109" i="51"/>
  <c r="AK58" i="53"/>
  <c r="AJ58" i="53"/>
  <c r="AN58" i="53"/>
  <c r="AL58" i="53"/>
  <c r="AM58" i="53"/>
  <c r="AL69" i="31"/>
  <c r="AJ69" i="31"/>
  <c r="AK69" i="31"/>
  <c r="AM69" i="31"/>
  <c r="AN69" i="31"/>
  <c r="AL60" i="50"/>
  <c r="AK60" i="50"/>
  <c r="AM60" i="50"/>
  <c r="AN60" i="50"/>
  <c r="AJ60" i="50"/>
  <c r="AN51" i="48"/>
  <c r="AM51" i="48"/>
  <c r="AJ51" i="48"/>
  <c r="AK51" i="48"/>
  <c r="AL51" i="48"/>
  <c r="AK105" i="34"/>
  <c r="AL105" i="34"/>
  <c r="AJ105" i="34"/>
  <c r="AM105" i="34"/>
  <c r="AN105" i="34"/>
  <c r="AK74" i="49"/>
  <c r="AM74" i="49"/>
  <c r="AL74" i="49"/>
  <c r="AJ74" i="49"/>
  <c r="AN74" i="49"/>
  <c r="AL107" i="22"/>
  <c r="AM107" i="22"/>
  <c r="AN107" i="22"/>
  <c r="AJ107" i="22"/>
  <c r="AK107" i="22"/>
  <c r="AK79" i="46"/>
  <c r="AL79" i="46"/>
  <c r="AJ79" i="46"/>
  <c r="AN79" i="46"/>
  <c r="AM79" i="46"/>
  <c r="AJ34" i="44"/>
  <c r="AM34" i="44"/>
  <c r="AL34" i="44"/>
  <c r="AK34" i="44"/>
  <c r="AN34" i="44"/>
  <c r="AL94" i="47"/>
  <c r="AM94" i="47"/>
  <c r="AK94" i="47"/>
  <c r="AJ94" i="47"/>
  <c r="AN94" i="47"/>
  <c r="AM94" i="52"/>
  <c r="AN94" i="52"/>
  <c r="AL94" i="52"/>
  <c r="AK94" i="52"/>
  <c r="AJ94" i="52"/>
  <c r="AJ11" i="44"/>
  <c r="AN11" i="44"/>
  <c r="AM11" i="44"/>
  <c r="AL11" i="44"/>
  <c r="AK11" i="44"/>
  <c r="AJ96" i="52"/>
  <c r="AL96" i="52"/>
  <c r="AN96" i="52"/>
  <c r="AM96" i="52"/>
  <c r="AK96" i="52"/>
  <c r="AK92" i="33"/>
  <c r="AL92" i="33"/>
  <c r="AM92" i="33"/>
  <c r="AN92" i="33"/>
  <c r="AJ92" i="33"/>
  <c r="AM104" i="31"/>
  <c r="AL104" i="31"/>
  <c r="AK104" i="31"/>
  <c r="AJ104" i="31"/>
  <c r="AN104" i="31"/>
  <c r="AM99" i="52"/>
  <c r="AJ99" i="52"/>
  <c r="AN99" i="52"/>
  <c r="AK99" i="52"/>
  <c r="AL99" i="52"/>
  <c r="AL84" i="53"/>
  <c r="AN84" i="53"/>
  <c r="AK84" i="53"/>
  <c r="AJ84" i="53"/>
  <c r="AM84" i="53"/>
  <c r="AM68" i="45"/>
  <c r="AK68" i="45"/>
  <c r="AL68" i="45"/>
  <c r="AJ68" i="45"/>
  <c r="AN68" i="45"/>
  <c r="AN72" i="53"/>
  <c r="AM72" i="53"/>
  <c r="AK72" i="53"/>
  <c r="AL72" i="53"/>
  <c r="AJ72" i="53"/>
  <c r="AM82" i="51"/>
  <c r="AJ82" i="51"/>
  <c r="AN82" i="51"/>
  <c r="AK82" i="51"/>
  <c r="AL82" i="51"/>
  <c r="AM30" i="50"/>
  <c r="AN30" i="50"/>
  <c r="AL30" i="50"/>
  <c r="AK30" i="50"/>
  <c r="AJ30" i="50"/>
  <c r="AM18" i="47"/>
  <c r="AN18" i="47"/>
  <c r="AL18" i="47"/>
  <c r="AK18" i="47"/>
  <c r="AJ18" i="47"/>
  <c r="AM79" i="48"/>
  <c r="AK79" i="48"/>
  <c r="AJ79" i="48"/>
  <c r="AN79" i="48"/>
  <c r="AL79" i="48"/>
  <c r="AK98" i="44"/>
  <c r="AM98" i="44"/>
  <c r="AN98" i="44"/>
  <c r="AJ98" i="44"/>
  <c r="AL98" i="44"/>
  <c r="AL96" i="32"/>
  <c r="AK96" i="32"/>
  <c r="AM96" i="32"/>
  <c r="AN96" i="32"/>
  <c r="AJ96" i="32"/>
  <c r="AM109" i="53"/>
  <c r="AJ109" i="53"/>
  <c r="AN109" i="53"/>
  <c r="AL109" i="53"/>
  <c r="AK109" i="53"/>
  <c r="AJ74" i="33"/>
  <c r="AL74" i="33"/>
  <c r="AK74" i="33"/>
  <c r="AM74" i="33"/>
  <c r="AN74" i="33"/>
  <c r="AK101" i="46"/>
  <c r="AJ101" i="46"/>
  <c r="AM101" i="46"/>
  <c r="AN101" i="46"/>
  <c r="AL101" i="46"/>
  <c r="AM37" i="50"/>
  <c r="AN37" i="50"/>
  <c r="AK37" i="50"/>
  <c r="AJ37" i="50"/>
  <c r="AL37" i="50"/>
  <c r="AK65" i="53"/>
  <c r="AM65" i="53"/>
  <c r="AL65" i="53"/>
  <c r="AN65" i="53"/>
  <c r="AJ65" i="53"/>
  <c r="AN107" i="48"/>
  <c r="AM107" i="48"/>
  <c r="AK107" i="48"/>
  <c r="AL107" i="48"/>
  <c r="AJ107" i="48"/>
  <c r="AM43" i="46"/>
  <c r="AN43" i="46"/>
  <c r="AK43" i="46"/>
  <c r="AL43" i="46"/>
  <c r="AJ43" i="46"/>
  <c r="AL55" i="53"/>
  <c r="AJ55" i="53"/>
  <c r="AK55" i="53"/>
  <c r="AN55" i="53"/>
  <c r="AM55" i="53"/>
  <c r="AM58" i="46"/>
  <c r="AL58" i="46"/>
  <c r="AK58" i="46"/>
  <c r="AN58" i="46"/>
  <c r="AJ58" i="46"/>
  <c r="AL25" i="53"/>
  <c r="AK25" i="53"/>
  <c r="AN25" i="53"/>
  <c r="AJ25" i="53"/>
  <c r="AM25" i="53"/>
  <c r="AL48" i="50"/>
  <c r="AK48" i="50"/>
  <c r="AJ48" i="50"/>
  <c r="AN48" i="50"/>
  <c r="AM48" i="50"/>
  <c r="AL91" i="45"/>
  <c r="AJ91" i="45"/>
  <c r="AM91" i="45"/>
  <c r="AK91" i="45"/>
  <c r="AN91" i="45"/>
  <c r="AL73" i="48"/>
  <c r="AJ73" i="48"/>
  <c r="AK73" i="48"/>
  <c r="AM73" i="48"/>
  <c r="AN73" i="48"/>
  <c r="AM76" i="34"/>
  <c r="AN76" i="34"/>
  <c r="AK76" i="34"/>
  <c r="AJ76" i="34"/>
  <c r="AL76" i="34"/>
  <c r="AM98" i="53"/>
  <c r="AJ98" i="53"/>
  <c r="AL98" i="53"/>
  <c r="AK98" i="53"/>
  <c r="AN98" i="53"/>
  <c r="AN77" i="33"/>
  <c r="AM77" i="33"/>
  <c r="AL77" i="33"/>
  <c r="AK77" i="33"/>
  <c r="AJ77" i="33"/>
  <c r="AJ110" i="44"/>
  <c r="AL110" i="44"/>
  <c r="AK110" i="44"/>
  <c r="AN110" i="44"/>
  <c r="AM110" i="44"/>
  <c r="AN23" i="46"/>
  <c r="AM23" i="46"/>
  <c r="AK23" i="46"/>
  <c r="AJ23" i="46"/>
  <c r="AL23" i="46"/>
  <c r="AK95" i="34"/>
  <c r="AL95" i="34"/>
  <c r="AM95" i="34"/>
  <c r="AJ95" i="34"/>
  <c r="AN95" i="34"/>
  <c r="AM76" i="45"/>
  <c r="AJ76" i="45"/>
  <c r="AK76" i="45"/>
  <c r="AL76" i="45"/>
  <c r="AN76" i="45"/>
  <c r="AM41" i="50"/>
  <c r="AN41" i="50"/>
  <c r="AK41" i="50"/>
  <c r="AJ41" i="50"/>
  <c r="AL41" i="50"/>
  <c r="AM47" i="47"/>
  <c r="AJ47" i="47"/>
  <c r="AN47" i="47"/>
  <c r="AL47" i="47"/>
  <c r="AK47" i="47"/>
  <c r="AM69" i="33"/>
  <c r="AK69" i="33"/>
  <c r="AJ69" i="33"/>
  <c r="AL69" i="33"/>
  <c r="AN69" i="33"/>
  <c r="AK108" i="49"/>
  <c r="AJ108" i="49"/>
  <c r="AM108" i="49"/>
  <c r="AN108" i="49"/>
  <c r="AL108" i="49"/>
  <c r="AK64" i="52"/>
  <c r="AJ64" i="52"/>
  <c r="AM64" i="52"/>
  <c r="AL64" i="52"/>
  <c r="AN64" i="52"/>
  <c r="AK87" i="52"/>
  <c r="AN87" i="52"/>
  <c r="AJ87" i="52"/>
  <c r="AL87" i="52"/>
  <c r="AM87" i="52"/>
  <c r="AM37" i="47"/>
  <c r="AJ37" i="47"/>
  <c r="AN37" i="47"/>
  <c r="AL37" i="47"/>
  <c r="AK37" i="47"/>
  <c r="AL44" i="48"/>
  <c r="AN44" i="48"/>
  <c r="AJ44" i="48"/>
  <c r="AM44" i="48"/>
  <c r="AK44" i="48"/>
  <c r="AL107" i="46"/>
  <c r="AJ107" i="46"/>
  <c r="AN107" i="46"/>
  <c r="AM107" i="46"/>
  <c r="AK107" i="46"/>
  <c r="AM90" i="50"/>
  <c r="AN90" i="50"/>
  <c r="AK90" i="50"/>
  <c r="AJ90" i="50"/>
  <c r="AL90" i="50"/>
  <c r="AL69" i="47"/>
  <c r="AM69" i="47"/>
  <c r="AN69" i="47"/>
  <c r="AJ69" i="47"/>
  <c r="AK69" i="47"/>
  <c r="AM55" i="50"/>
  <c r="AN55" i="50"/>
  <c r="AL55" i="50"/>
  <c r="AK55" i="50"/>
  <c r="AJ55" i="50"/>
  <c r="AN105" i="45"/>
  <c r="AJ105" i="45"/>
  <c r="AM105" i="45"/>
  <c r="AK105" i="45"/>
  <c r="AL105" i="45"/>
  <c r="AL45" i="45"/>
  <c r="AK45" i="45"/>
  <c r="AM45" i="45"/>
  <c r="AN45" i="45"/>
  <c r="AJ45" i="45"/>
  <c r="AJ102" i="47"/>
  <c r="AL102" i="47"/>
  <c r="AM102" i="47"/>
  <c r="AN102" i="47"/>
  <c r="AK102" i="47"/>
  <c r="AM94" i="44"/>
  <c r="AK94" i="44"/>
  <c r="AL94" i="44"/>
  <c r="AJ94" i="44"/>
  <c r="AN94" i="44"/>
  <c r="AK68" i="22"/>
  <c r="AL68" i="22"/>
  <c r="AM68" i="22"/>
  <c r="AN68" i="22"/>
  <c r="AJ68" i="22"/>
  <c r="AK88" i="33"/>
  <c r="AL88" i="33"/>
  <c r="AM88" i="33"/>
  <c r="AN88" i="33"/>
  <c r="AJ88" i="33"/>
  <c r="AN89" i="53"/>
  <c r="AL89" i="53"/>
  <c r="AJ89" i="53"/>
  <c r="AK89" i="53"/>
  <c r="AM89" i="53"/>
  <c r="AK93" i="44"/>
  <c r="AL93" i="44"/>
  <c r="AJ93" i="44"/>
  <c r="AM93" i="44"/>
  <c r="AN93" i="44"/>
  <c r="AM31" i="44"/>
  <c r="AL31" i="44"/>
  <c r="AK31" i="44"/>
  <c r="AN31" i="44"/>
  <c r="AJ31" i="44"/>
  <c r="AN98" i="34"/>
  <c r="AL98" i="34"/>
  <c r="AM98" i="34"/>
  <c r="AK98" i="34"/>
  <c r="AJ98" i="34"/>
  <c r="AM52" i="46"/>
  <c r="AL52" i="46"/>
  <c r="AJ52" i="46"/>
  <c r="AN52" i="46"/>
  <c r="AK52" i="46"/>
  <c r="AM108" i="44"/>
  <c r="AK108" i="44"/>
  <c r="AJ108" i="44"/>
  <c r="AN108" i="44"/>
  <c r="AL108" i="44"/>
  <c r="AJ16" i="51"/>
  <c r="AL16" i="51"/>
  <c r="AM16" i="51"/>
  <c r="AK16" i="51"/>
  <c r="AN16" i="51"/>
  <c r="AK51" i="46"/>
  <c r="AM51" i="46"/>
  <c r="AJ51" i="46"/>
  <c r="AN51" i="46"/>
  <c r="AL51" i="46"/>
  <c r="AJ67" i="53"/>
  <c r="AM67" i="53"/>
  <c r="AK67" i="53"/>
  <c r="AL67" i="53"/>
  <c r="AN67" i="53"/>
  <c r="AM105" i="47"/>
  <c r="AK105" i="47"/>
  <c r="AN105" i="47"/>
  <c r="AJ105" i="47"/>
  <c r="AL105" i="47"/>
  <c r="AN101" i="47"/>
  <c r="AM101" i="47"/>
  <c r="AJ101" i="47"/>
  <c r="AK101" i="47"/>
  <c r="AL101" i="47"/>
  <c r="M65" i="2"/>
  <c r="K65" i="2"/>
  <c r="AK32" i="50"/>
  <c r="AL32" i="50"/>
  <c r="AM32" i="50"/>
  <c r="AJ32" i="50"/>
  <c r="AN32" i="50"/>
  <c r="K71" i="2"/>
  <c r="M71" i="2"/>
  <c r="AM19" i="49"/>
  <c r="AJ19" i="49"/>
  <c r="AL19" i="49"/>
  <c r="AN19" i="49"/>
  <c r="AK19" i="49"/>
  <c r="AL79" i="53"/>
  <c r="AM79" i="53"/>
  <c r="AK79" i="53"/>
  <c r="AJ79" i="53"/>
  <c r="AN79" i="53"/>
  <c r="AM90" i="48"/>
  <c r="AN90" i="48"/>
  <c r="AJ90" i="48"/>
  <c r="AL90" i="48"/>
  <c r="AK90" i="48"/>
  <c r="AN22" i="53"/>
  <c r="AL22" i="53"/>
  <c r="AK22" i="53"/>
  <c r="AJ22" i="53"/>
  <c r="AM22" i="53"/>
  <c r="AK76" i="52"/>
  <c r="AM76" i="52"/>
  <c r="AJ76" i="52"/>
  <c r="AL76" i="52"/>
  <c r="AN76" i="52"/>
  <c r="AJ108" i="53"/>
  <c r="AL108" i="53"/>
  <c r="AM108" i="53"/>
  <c r="AN108" i="53"/>
  <c r="AK108" i="53"/>
  <c r="AM70" i="52"/>
  <c r="AN70" i="52"/>
  <c r="AK70" i="52"/>
  <c r="AJ70" i="52"/>
  <c r="AL70" i="52"/>
  <c r="AK75" i="52"/>
  <c r="AL75" i="52"/>
  <c r="AJ75" i="52"/>
  <c r="AM75" i="52"/>
  <c r="AN75" i="52"/>
  <c r="AK91" i="46"/>
  <c r="AN91" i="46"/>
  <c r="AL91" i="46"/>
  <c r="AJ91" i="46"/>
  <c r="AM91" i="46"/>
  <c r="AK10" i="44"/>
  <c r="AJ10" i="44"/>
  <c r="AM10" i="44"/>
  <c r="AN10" i="44"/>
  <c r="AL10" i="44"/>
  <c r="AJ54" i="49"/>
  <c r="AK54" i="49"/>
  <c r="AN54" i="49"/>
  <c r="AM54" i="49"/>
  <c r="AL54" i="49"/>
  <c r="AK108" i="45"/>
  <c r="AN108" i="45"/>
  <c r="AJ108" i="45"/>
  <c r="AM108" i="45"/>
  <c r="AL108" i="45"/>
  <c r="AJ101" i="22"/>
  <c r="AK101" i="22"/>
  <c r="AN101" i="22"/>
  <c r="AL101" i="22"/>
  <c r="AM101" i="22"/>
  <c r="AL88" i="32"/>
  <c r="AM88" i="32"/>
  <c r="AK88" i="32"/>
  <c r="AN88" i="32"/>
  <c r="AJ88" i="32"/>
  <c r="AJ81" i="47"/>
  <c r="AL81" i="47"/>
  <c r="AN81" i="47"/>
  <c r="AK81" i="47"/>
  <c r="AM81" i="47"/>
  <c r="AJ87" i="33"/>
  <c r="AK87" i="33"/>
  <c r="AN87" i="33"/>
  <c r="AM87" i="33"/>
  <c r="AL87" i="33"/>
  <c r="AJ110" i="32"/>
  <c r="AL110" i="32"/>
  <c r="AK110" i="32"/>
  <c r="AM110" i="32"/>
  <c r="AN110" i="32"/>
  <c r="AM34" i="48"/>
  <c r="AJ34" i="48"/>
  <c r="AN34" i="48"/>
  <c r="AK34" i="48"/>
  <c r="AL34" i="48"/>
  <c r="AM29" i="47"/>
  <c r="AJ29" i="47"/>
  <c r="AN29" i="47"/>
  <c r="AL29" i="47"/>
  <c r="AK29" i="47"/>
  <c r="AK81" i="33"/>
  <c r="AM81" i="33"/>
  <c r="AN81" i="33"/>
  <c r="AJ81" i="33"/>
  <c r="AL81" i="33"/>
  <c r="AM43" i="48"/>
  <c r="AK43" i="48"/>
  <c r="AN43" i="48"/>
  <c r="AL43" i="48"/>
  <c r="AJ43" i="48"/>
  <c r="AM80" i="52"/>
  <c r="AK80" i="52"/>
  <c r="AL80" i="52"/>
  <c r="AN80" i="52"/>
  <c r="AJ80" i="52"/>
  <c r="AJ98" i="31"/>
  <c r="AL98" i="31"/>
  <c r="AN98" i="31"/>
  <c r="AK98" i="31"/>
  <c r="AM98" i="31"/>
  <c r="AL34" i="46"/>
  <c r="AM34" i="46"/>
  <c r="AN34" i="46"/>
  <c r="AK34" i="46"/>
  <c r="AJ34" i="46"/>
  <c r="AK37" i="46"/>
  <c r="AN37" i="46"/>
  <c r="AL37" i="46"/>
  <c r="AM37" i="46"/>
  <c r="AJ37" i="46"/>
  <c r="AM90" i="34"/>
  <c r="AN90" i="34"/>
  <c r="AK90" i="34"/>
  <c r="AJ90" i="34"/>
  <c r="AL90" i="34"/>
  <c r="AM39" i="44"/>
  <c r="AJ39" i="44"/>
  <c r="AN39" i="44"/>
  <c r="AL39" i="44"/>
  <c r="AK39" i="44"/>
  <c r="AN99" i="34"/>
  <c r="AJ99" i="34"/>
  <c r="AM99" i="34"/>
  <c r="AK99" i="34"/>
  <c r="AL99" i="34"/>
  <c r="AK46" i="44"/>
  <c r="AM46" i="44"/>
  <c r="AJ46" i="44"/>
  <c r="AN46" i="44"/>
  <c r="AL46" i="44"/>
  <c r="AL101" i="32"/>
  <c r="AN101" i="32"/>
  <c r="AK101" i="32"/>
  <c r="AJ101" i="32"/>
  <c r="AM101" i="32"/>
  <c r="AK62" i="45"/>
  <c r="AL62" i="45"/>
  <c r="AJ62" i="45"/>
  <c r="AM62" i="45"/>
  <c r="AN62" i="45"/>
  <c r="AL56" i="47"/>
  <c r="AK56" i="47"/>
  <c r="AM56" i="47"/>
  <c r="AN56" i="47"/>
  <c r="AJ56" i="47"/>
  <c r="AK21" i="44"/>
  <c r="AM21" i="44"/>
  <c r="AN21" i="44"/>
  <c r="AJ21" i="44"/>
  <c r="AL21" i="44"/>
  <c r="AK71" i="48"/>
  <c r="AJ71" i="48"/>
  <c r="AM71" i="48"/>
  <c r="AN71" i="48"/>
  <c r="AL71" i="48"/>
  <c r="AN88" i="48"/>
  <c r="AL88" i="48"/>
  <c r="AM88" i="48"/>
  <c r="AK88" i="48"/>
  <c r="AJ88" i="48"/>
  <c r="AL66" i="53"/>
  <c r="AM66" i="53"/>
  <c r="AK66" i="53"/>
  <c r="AJ66" i="53"/>
  <c r="AN66" i="53"/>
  <c r="AJ53" i="53"/>
  <c r="AL53" i="53"/>
  <c r="AN53" i="53"/>
  <c r="AM53" i="53"/>
  <c r="AK53" i="53"/>
  <c r="AK86" i="33"/>
  <c r="AM86" i="33"/>
  <c r="AL86" i="33"/>
  <c r="AJ86" i="33"/>
  <c r="AN86" i="33"/>
  <c r="AM106" i="46"/>
  <c r="AK106" i="46"/>
  <c r="AJ106" i="46"/>
  <c r="AN106" i="46"/>
  <c r="AL106" i="46"/>
  <c r="AL65" i="50"/>
  <c r="AN65" i="50"/>
  <c r="AJ65" i="50"/>
  <c r="AM65" i="50"/>
  <c r="AK65" i="50"/>
  <c r="AJ17" i="48"/>
  <c r="AK17" i="48"/>
  <c r="AL17" i="48"/>
  <c r="AN17" i="48"/>
  <c r="AM17" i="48"/>
  <c r="AL19" i="46"/>
  <c r="AM19" i="46"/>
  <c r="AK19" i="46"/>
  <c r="AN19" i="46"/>
  <c r="AJ19" i="46"/>
  <c r="AN40" i="53"/>
  <c r="AL40" i="53"/>
  <c r="AK40" i="53"/>
  <c r="AM40" i="53"/>
  <c r="AJ40" i="53"/>
  <c r="AJ63" i="49"/>
  <c r="AK63" i="49"/>
  <c r="AL63" i="49"/>
  <c r="AN63" i="49"/>
  <c r="AM63" i="49"/>
  <c r="AK76" i="46"/>
  <c r="AL76" i="46"/>
  <c r="AM76" i="46"/>
  <c r="AN76" i="46"/>
  <c r="AJ76" i="46"/>
  <c r="AN10" i="47"/>
  <c r="AL10" i="47"/>
  <c r="AK10" i="47"/>
  <c r="AM10" i="47"/>
  <c r="AJ10" i="47"/>
  <c r="AJ79" i="33"/>
  <c r="AN79" i="33"/>
  <c r="AM79" i="33"/>
  <c r="AL79" i="33"/>
  <c r="AK79" i="33"/>
  <c r="AL91" i="51"/>
  <c r="AN91" i="51"/>
  <c r="AK91" i="51"/>
  <c r="AJ91" i="51"/>
  <c r="AM91" i="51"/>
  <c r="AL86" i="51"/>
  <c r="AM86" i="51"/>
  <c r="AJ86" i="51"/>
  <c r="AN86" i="51"/>
  <c r="AK86" i="51"/>
  <c r="AL80" i="32"/>
  <c r="AJ80" i="32"/>
  <c r="AK80" i="32"/>
  <c r="AN80" i="32"/>
  <c r="AM80" i="32"/>
  <c r="AK23" i="50"/>
  <c r="AL23" i="50"/>
  <c r="AJ23" i="50"/>
  <c r="AN23" i="50"/>
  <c r="AM23" i="50"/>
  <c r="AN33" i="45"/>
  <c r="AJ33" i="45"/>
  <c r="AM33" i="45"/>
  <c r="AL33" i="45"/>
  <c r="AK33" i="45"/>
  <c r="AN62" i="44"/>
  <c r="AJ62" i="44"/>
  <c r="AK62" i="44"/>
  <c r="AM62" i="44"/>
  <c r="AL62" i="44"/>
  <c r="AJ83" i="33"/>
  <c r="AL83" i="33"/>
  <c r="AM83" i="33"/>
  <c r="AN83" i="33"/>
  <c r="AK83" i="33"/>
  <c r="AK22" i="48"/>
  <c r="AM22" i="48"/>
  <c r="AL22" i="48"/>
  <c r="AJ22" i="48"/>
  <c r="AN22" i="48"/>
  <c r="AM29" i="51"/>
  <c r="AN29" i="51"/>
  <c r="AK29" i="51"/>
  <c r="AL29" i="51"/>
  <c r="AJ29" i="51"/>
  <c r="AM97" i="33"/>
  <c r="AJ97" i="33"/>
  <c r="AN97" i="33"/>
  <c r="AL97" i="33"/>
  <c r="AK97" i="33"/>
  <c r="AN100" i="48"/>
  <c r="AL100" i="48"/>
  <c r="AJ100" i="48"/>
  <c r="AK100" i="48"/>
  <c r="AM100" i="48"/>
  <c r="AN35" i="44"/>
  <c r="AL35" i="44"/>
  <c r="AK35" i="44"/>
  <c r="AJ35" i="44"/>
  <c r="AM35" i="44"/>
  <c r="AJ103" i="47"/>
  <c r="AM103" i="47"/>
  <c r="AN103" i="47"/>
  <c r="AL103" i="47"/>
  <c r="AK103" i="47"/>
  <c r="AL104" i="33"/>
  <c r="AK104" i="33"/>
  <c r="AM104" i="33"/>
  <c r="AN104" i="33"/>
  <c r="AJ104" i="33"/>
  <c r="AK97" i="32"/>
  <c r="AL97" i="32"/>
  <c r="AM97" i="32"/>
  <c r="AN97" i="32"/>
  <c r="AJ97" i="32"/>
  <c r="AN45" i="44"/>
  <c r="AL45" i="44"/>
  <c r="AK45" i="44"/>
  <c r="AJ45" i="44"/>
  <c r="AM45" i="44"/>
  <c r="AN77" i="44"/>
  <c r="AL77" i="44"/>
  <c r="AK77" i="44"/>
  <c r="AJ77" i="44"/>
  <c r="AM77" i="44"/>
  <c r="AM22" i="46"/>
  <c r="AJ22" i="46"/>
  <c r="AN22" i="46"/>
  <c r="AL22" i="46"/>
  <c r="AK22" i="46"/>
  <c r="M69" i="2"/>
  <c r="K69" i="2"/>
  <c r="K106" i="2"/>
  <c r="M106" i="2"/>
  <c r="AJ65" i="49"/>
  <c r="AK65" i="49"/>
  <c r="AM65" i="49"/>
  <c r="AN65" i="49"/>
  <c r="AL65" i="49"/>
  <c r="AN62" i="47"/>
  <c r="AK62" i="47"/>
  <c r="AJ62" i="47"/>
  <c r="AL62" i="47"/>
  <c r="AM62" i="47"/>
  <c r="AK79" i="22"/>
  <c r="AM79" i="22"/>
  <c r="AL79" i="22"/>
  <c r="AN79" i="22"/>
  <c r="AJ79" i="22"/>
  <c r="AL95" i="46"/>
  <c r="AK95" i="46"/>
  <c r="AJ95" i="46"/>
  <c r="AN95" i="46"/>
  <c r="AM95" i="46"/>
  <c r="AN33" i="53"/>
  <c r="AK33" i="53"/>
  <c r="AM33" i="53"/>
  <c r="AL33" i="53"/>
  <c r="AJ33" i="53"/>
  <c r="AJ37" i="51"/>
  <c r="AL37" i="51"/>
  <c r="AN37" i="51"/>
  <c r="AK37" i="51"/>
  <c r="AM37" i="51"/>
  <c r="AM84" i="47"/>
  <c r="AK84" i="47"/>
  <c r="AJ84" i="47"/>
  <c r="AL84" i="47"/>
  <c r="AN84" i="47"/>
  <c r="AJ91" i="49"/>
  <c r="AM91" i="49"/>
  <c r="AK91" i="49"/>
  <c r="AN91" i="49"/>
  <c r="AL91" i="49"/>
  <c r="AL41" i="52"/>
  <c r="AJ41" i="52"/>
  <c r="AN41" i="52"/>
  <c r="AM41" i="52"/>
  <c r="AK41" i="52"/>
  <c r="AJ90" i="45"/>
  <c r="AK90" i="45"/>
  <c r="AM90" i="45"/>
  <c r="AL90" i="45"/>
  <c r="AN90" i="45"/>
  <c r="AK39" i="49"/>
  <c r="AL39" i="49"/>
  <c r="AJ39" i="49"/>
  <c r="AN39" i="49"/>
  <c r="AM39" i="49"/>
  <c r="AL31" i="49"/>
  <c r="AN31" i="49"/>
  <c r="AJ31" i="49"/>
  <c r="AK31" i="49"/>
  <c r="AM31" i="49"/>
  <c r="AK70" i="49"/>
  <c r="AL70" i="49"/>
  <c r="AJ70" i="49"/>
  <c r="AN70" i="49"/>
  <c r="AM70" i="49"/>
  <c r="AL85" i="32"/>
  <c r="AJ85" i="32"/>
  <c r="AK85" i="32"/>
  <c r="AN85" i="32"/>
  <c r="AM85" i="32"/>
  <c r="AN109" i="44"/>
  <c r="AJ109" i="44"/>
  <c r="AK109" i="44"/>
  <c r="AL109" i="44"/>
  <c r="AM109" i="44"/>
  <c r="AK89" i="52"/>
  <c r="AJ89" i="52"/>
  <c r="AL89" i="52"/>
  <c r="AN89" i="52"/>
  <c r="AM89" i="52"/>
  <c r="AN92" i="44"/>
  <c r="AK92" i="44"/>
  <c r="AM92" i="44"/>
  <c r="AJ92" i="44"/>
  <c r="AL92" i="44"/>
  <c r="AJ66" i="45"/>
  <c r="AN66" i="45"/>
  <c r="AM66" i="45"/>
  <c r="AL66" i="45"/>
  <c r="AK66" i="45"/>
  <c r="AK76" i="22"/>
  <c r="AM76" i="22"/>
  <c r="AN76" i="22"/>
  <c r="AJ76" i="22"/>
  <c r="AL76" i="22"/>
  <c r="AM18" i="46"/>
  <c r="AN18" i="46"/>
  <c r="AL18" i="46"/>
  <c r="AK18" i="46"/>
  <c r="AJ18" i="46"/>
  <c r="AM36" i="46"/>
  <c r="AJ36" i="46"/>
  <c r="AL36" i="46"/>
  <c r="AK36" i="46"/>
  <c r="AN36" i="46"/>
  <c r="AK31" i="47"/>
  <c r="AL31" i="47"/>
  <c r="AN31" i="47"/>
  <c r="AM31" i="47"/>
  <c r="AJ31" i="47"/>
  <c r="AN22" i="50"/>
  <c r="AJ22" i="50"/>
  <c r="AL22" i="50"/>
  <c r="AM22" i="50"/>
  <c r="AK22" i="50"/>
  <c r="AN95" i="47"/>
  <c r="AK95" i="47"/>
  <c r="AL95" i="47"/>
  <c r="AJ95" i="47"/>
  <c r="AM95" i="47"/>
  <c r="AN91" i="32"/>
  <c r="AJ91" i="32"/>
  <c r="AK91" i="32"/>
  <c r="AL91" i="32"/>
  <c r="AM91" i="32"/>
  <c r="AM28" i="47"/>
  <c r="AL28" i="47"/>
  <c r="AK28" i="47"/>
  <c r="AN28" i="47"/>
  <c r="AJ28" i="47"/>
  <c r="AN93" i="48"/>
  <c r="AK93" i="48"/>
  <c r="AM93" i="48"/>
  <c r="AL93" i="48"/>
  <c r="AJ93" i="48"/>
  <c r="AL87" i="50"/>
  <c r="AM87" i="50"/>
  <c r="AJ87" i="50"/>
  <c r="AN87" i="50"/>
  <c r="AK87" i="50"/>
  <c r="AL83" i="51"/>
  <c r="AJ83" i="51"/>
  <c r="AN83" i="51"/>
  <c r="AK83" i="51"/>
  <c r="AM83" i="51"/>
  <c r="AM101" i="44"/>
  <c r="AJ101" i="44"/>
  <c r="AN101" i="44"/>
  <c r="AL101" i="44"/>
  <c r="AK101" i="44"/>
  <c r="AJ30" i="44"/>
  <c r="AM30" i="44"/>
  <c r="AL30" i="44"/>
  <c r="AK30" i="44"/>
  <c r="AN30" i="44"/>
  <c r="AK27" i="50"/>
  <c r="AL27" i="50"/>
  <c r="AM27" i="50"/>
  <c r="AJ27" i="50"/>
  <c r="AN27" i="50"/>
  <c r="AK25" i="45"/>
  <c r="AL25" i="45"/>
  <c r="AJ25" i="45"/>
  <c r="AM25" i="45"/>
  <c r="AN25" i="45"/>
  <c r="AM94" i="46"/>
  <c r="AJ94" i="46"/>
  <c r="AL94" i="46"/>
  <c r="AN94" i="46"/>
  <c r="AK94" i="46"/>
  <c r="AM69" i="51"/>
  <c r="AJ69" i="51"/>
  <c r="AL69" i="51"/>
  <c r="AK69" i="51"/>
  <c r="AN69" i="51"/>
  <c r="AJ16" i="53"/>
  <c r="AN16" i="53"/>
  <c r="AL16" i="53"/>
  <c r="AK16" i="53"/>
  <c r="AM16" i="53"/>
  <c r="AL71" i="46"/>
  <c r="AJ71" i="46"/>
  <c r="AK71" i="46"/>
  <c r="AN71" i="46"/>
  <c r="AM71" i="46"/>
  <c r="AN46" i="48"/>
  <c r="AL46" i="48"/>
  <c r="AJ46" i="48"/>
  <c r="AM46" i="48"/>
  <c r="AK46" i="48"/>
  <c r="AM26" i="51"/>
  <c r="AL26" i="51"/>
  <c r="AJ26" i="51"/>
  <c r="AN26" i="51"/>
  <c r="AK26" i="51"/>
  <c r="AL56" i="50"/>
  <c r="AK56" i="50"/>
  <c r="AM56" i="50"/>
  <c r="AJ56" i="50"/>
  <c r="AN56" i="50"/>
  <c r="AJ95" i="22"/>
  <c r="AN95" i="22"/>
  <c r="AK95" i="22"/>
  <c r="AM95" i="22"/>
  <c r="AL95" i="22"/>
  <c r="AK101" i="34"/>
  <c r="AL101" i="34"/>
  <c r="AN101" i="34"/>
  <c r="AJ101" i="34"/>
  <c r="AM101" i="34"/>
  <c r="AN49" i="50"/>
  <c r="AM49" i="50"/>
  <c r="AK49" i="50"/>
  <c r="AL49" i="50"/>
  <c r="AJ49" i="50"/>
  <c r="AM85" i="44"/>
  <c r="AN85" i="44"/>
  <c r="AL85" i="44"/>
  <c r="AK85" i="44"/>
  <c r="AJ85" i="44"/>
  <c r="AJ62" i="53"/>
  <c r="AK62" i="53"/>
  <c r="AL62" i="53"/>
  <c r="AM62" i="53"/>
  <c r="AN62" i="53"/>
  <c r="AM80" i="49"/>
  <c r="AJ80" i="49"/>
  <c r="AN80" i="49"/>
  <c r="AL80" i="49"/>
  <c r="AK80" i="49"/>
  <c r="AN108" i="31"/>
  <c r="AL108" i="31"/>
  <c r="AM108" i="31"/>
  <c r="AJ108" i="31"/>
  <c r="AK108" i="31"/>
  <c r="AK52" i="50"/>
  <c r="AM52" i="50"/>
  <c r="AN52" i="50"/>
  <c r="AL52" i="50"/>
  <c r="AJ52" i="50"/>
  <c r="AJ104" i="45"/>
  <c r="AN104" i="45"/>
  <c r="AM104" i="45"/>
  <c r="AL104" i="45"/>
  <c r="AK104" i="45"/>
  <c r="AJ12" i="46"/>
  <c r="AM12" i="46"/>
  <c r="AN12" i="46"/>
  <c r="AL12" i="46"/>
  <c r="AK12" i="46"/>
  <c r="AL78" i="32"/>
  <c r="AM78" i="32"/>
  <c r="AJ78" i="32"/>
  <c r="AK78" i="32"/>
  <c r="AN78" i="32"/>
  <c r="AJ103" i="50"/>
  <c r="AN103" i="50"/>
  <c r="AM103" i="50"/>
  <c r="AL103" i="50"/>
  <c r="AK103" i="50"/>
  <c r="AM78" i="49"/>
  <c r="AL78" i="49"/>
  <c r="AJ78" i="49"/>
  <c r="AN78" i="49"/>
  <c r="AK78" i="49"/>
  <c r="AL96" i="53"/>
  <c r="AM96" i="53"/>
  <c r="AK96" i="53"/>
  <c r="AJ96" i="53"/>
  <c r="AN96" i="53"/>
  <c r="AJ100" i="32"/>
  <c r="AL100" i="32"/>
  <c r="AM100" i="32"/>
  <c r="AK100" i="32"/>
  <c r="AN100" i="32"/>
  <c r="AM60" i="49"/>
  <c r="AK60" i="49"/>
  <c r="AJ60" i="49"/>
  <c r="AN60" i="49"/>
  <c r="AL60" i="49"/>
  <c r="AK78" i="33"/>
  <c r="AM78" i="33"/>
  <c r="AN78" i="33"/>
  <c r="AJ78" i="33"/>
  <c r="AL78" i="33"/>
  <c r="AK67" i="33"/>
  <c r="AM67" i="33"/>
  <c r="AL67" i="33"/>
  <c r="AN67" i="33"/>
  <c r="AJ67" i="33"/>
  <c r="AK108" i="33"/>
  <c r="AL108" i="33"/>
  <c r="AM108" i="33"/>
  <c r="AN108" i="33"/>
  <c r="AJ108" i="33"/>
  <c r="AN25" i="50"/>
  <c r="AL25" i="50"/>
  <c r="AM25" i="50"/>
  <c r="AJ25" i="50"/>
  <c r="AK25" i="50"/>
  <c r="AL56" i="51"/>
  <c r="AN56" i="51"/>
  <c r="AK56" i="51"/>
  <c r="AM56" i="51"/>
  <c r="AJ56" i="51"/>
  <c r="AN10" i="51"/>
  <c r="AL10" i="51"/>
  <c r="AM10" i="51"/>
  <c r="AJ10" i="51"/>
  <c r="AK10" i="51"/>
  <c r="AN72" i="45"/>
  <c r="AJ72" i="45"/>
  <c r="AL72" i="45"/>
  <c r="AK72" i="45"/>
  <c r="AM72" i="45"/>
  <c r="AM82" i="46"/>
  <c r="AL82" i="46"/>
  <c r="AN82" i="46"/>
  <c r="AK82" i="46"/>
  <c r="AJ82" i="46"/>
  <c r="AJ27" i="53"/>
  <c r="AN27" i="53"/>
  <c r="AK27" i="53"/>
  <c r="AM27" i="53"/>
  <c r="AL27" i="53"/>
  <c r="AL43" i="51"/>
  <c r="AM43" i="51"/>
  <c r="AK43" i="51"/>
  <c r="AJ43" i="51"/>
  <c r="AN43" i="51"/>
  <c r="AL108" i="32"/>
  <c r="AJ108" i="32"/>
  <c r="AK108" i="32"/>
  <c r="AM108" i="32"/>
  <c r="AN108" i="32"/>
  <c r="M86" i="2"/>
  <c r="K86" i="2"/>
  <c r="AK106" i="44"/>
  <c r="AN106" i="44"/>
  <c r="AJ106" i="44"/>
  <c r="AM106" i="44"/>
  <c r="AL106" i="44"/>
  <c r="AL101" i="31"/>
  <c r="AM101" i="31"/>
  <c r="AJ101" i="31"/>
  <c r="AK101" i="31"/>
  <c r="AN101" i="31"/>
  <c r="AN23" i="44"/>
  <c r="AJ23" i="44"/>
  <c r="AM23" i="44"/>
  <c r="AL23" i="44"/>
  <c r="AK23" i="44"/>
  <c r="AJ81" i="46"/>
  <c r="AN81" i="46"/>
  <c r="AL81" i="46"/>
  <c r="AK81" i="46"/>
  <c r="AM81" i="46"/>
  <c r="AL72" i="33"/>
  <c r="AM72" i="33"/>
  <c r="AK72" i="33"/>
  <c r="AN72" i="33"/>
  <c r="AJ72" i="33"/>
  <c r="AJ63" i="52"/>
  <c r="AL63" i="52"/>
  <c r="AN63" i="52"/>
  <c r="AM63" i="52"/>
  <c r="AK63" i="52"/>
  <c r="AL62" i="49"/>
  <c r="AM62" i="49"/>
  <c r="AJ62" i="49"/>
  <c r="AN62" i="49"/>
  <c r="AK62" i="49"/>
  <c r="AK36" i="50"/>
  <c r="AJ36" i="50"/>
  <c r="AM36" i="50"/>
  <c r="AL36" i="50"/>
  <c r="AN36" i="50"/>
  <c r="AJ80" i="45"/>
  <c r="AM80" i="45"/>
  <c r="AN80" i="45"/>
  <c r="AL80" i="45"/>
  <c r="AK80" i="45"/>
  <c r="AN75" i="32"/>
  <c r="AL75" i="32"/>
  <c r="AM75" i="32"/>
  <c r="AJ75" i="32"/>
  <c r="AK75" i="32"/>
  <c r="AM65" i="33"/>
  <c r="AN65" i="33"/>
  <c r="AJ65" i="33"/>
  <c r="AK65" i="33"/>
  <c r="AL65" i="33"/>
  <c r="AJ58" i="51"/>
  <c r="AK58" i="51"/>
  <c r="AN58" i="51"/>
  <c r="AM58" i="51"/>
  <c r="AL58" i="51"/>
  <c r="AM97" i="48"/>
  <c r="AN97" i="48"/>
  <c r="AL97" i="48"/>
  <c r="AJ97" i="48"/>
  <c r="AK97" i="48"/>
  <c r="AL51" i="53"/>
  <c r="AK51" i="53"/>
  <c r="AN51" i="53"/>
  <c r="AM51" i="53"/>
  <c r="AJ51" i="53"/>
  <c r="AM99" i="53"/>
  <c r="AL99" i="53"/>
  <c r="AK99" i="53"/>
  <c r="AJ99" i="53"/>
  <c r="AN99" i="53"/>
  <c r="AL16" i="48"/>
  <c r="AK16" i="48"/>
  <c r="AN16" i="48"/>
  <c r="AJ16" i="48"/>
  <c r="AM16" i="48"/>
  <c r="AM18" i="52"/>
  <c r="AN18" i="52"/>
  <c r="AJ18" i="52"/>
  <c r="AL18" i="52"/>
  <c r="AK18" i="52"/>
  <c r="AN32" i="53"/>
  <c r="AJ32" i="53"/>
  <c r="AM32" i="53"/>
  <c r="AK32" i="53"/>
  <c r="AL32" i="53"/>
  <c r="AN62" i="48"/>
  <c r="AJ62" i="48"/>
  <c r="AK62" i="48"/>
  <c r="AM62" i="48"/>
  <c r="AL62" i="48"/>
  <c r="AN110" i="48"/>
  <c r="AK110" i="48"/>
  <c r="AJ110" i="48"/>
  <c r="AL110" i="48"/>
  <c r="AM110" i="48"/>
  <c r="AN42" i="52"/>
  <c r="AJ42" i="52"/>
  <c r="AM42" i="52"/>
  <c r="AL42" i="52"/>
  <c r="AK42" i="52"/>
  <c r="AL46" i="47"/>
  <c r="AK46" i="47"/>
  <c r="AM46" i="47"/>
  <c r="AJ46" i="47"/>
  <c r="AN46" i="47"/>
  <c r="AK71" i="53"/>
  <c r="AM71" i="53"/>
  <c r="AL71" i="53"/>
  <c r="AJ71" i="53"/>
  <c r="AN71" i="53"/>
  <c r="AM44" i="46"/>
  <c r="AK44" i="46"/>
  <c r="AJ44" i="46"/>
  <c r="AN44" i="46"/>
  <c r="AL44" i="46"/>
  <c r="AL69" i="32"/>
  <c r="AN69" i="32"/>
  <c r="AM69" i="32"/>
  <c r="AK69" i="32"/>
  <c r="AJ69" i="32"/>
  <c r="AK43" i="45"/>
  <c r="AM43" i="45"/>
  <c r="AJ43" i="45"/>
  <c r="AL43" i="45"/>
  <c r="AN43" i="45"/>
  <c r="AJ78" i="31"/>
  <c r="AM78" i="31"/>
  <c r="AN78" i="31"/>
  <c r="AL78" i="31"/>
  <c r="AK78" i="31"/>
  <c r="AN87" i="34"/>
  <c r="AK87" i="34"/>
  <c r="AL87" i="34"/>
  <c r="AM87" i="34"/>
  <c r="AJ87" i="34"/>
  <c r="AL61" i="46"/>
  <c r="AM61" i="46"/>
  <c r="AJ61" i="46"/>
  <c r="AN61" i="46"/>
  <c r="AK61" i="46"/>
  <c r="K110" i="2"/>
  <c r="M110" i="2"/>
  <c r="AM79" i="32"/>
  <c r="AJ79" i="32"/>
  <c r="AN79" i="32"/>
  <c r="AK79" i="32"/>
  <c r="AL79" i="32"/>
  <c r="AM76" i="44"/>
  <c r="AJ76" i="44"/>
  <c r="AN76" i="44"/>
  <c r="AK76" i="44"/>
  <c r="AL76" i="44"/>
  <c r="AN69" i="49"/>
  <c r="AK69" i="49"/>
  <c r="AJ69" i="49"/>
  <c r="AL69" i="49"/>
  <c r="AM69" i="49"/>
  <c r="AJ67" i="48"/>
  <c r="AK67" i="48"/>
  <c r="AN67" i="48"/>
  <c r="AM67" i="48"/>
  <c r="AL67" i="48"/>
  <c r="AM14" i="51"/>
  <c r="AK14" i="51"/>
  <c r="AJ14" i="51"/>
  <c r="AL14" i="51"/>
  <c r="AN14" i="51"/>
  <c r="AJ31" i="52"/>
  <c r="AL31" i="52"/>
  <c r="AN31" i="52"/>
  <c r="AM31" i="52"/>
  <c r="AK31" i="52"/>
  <c r="AL46" i="50"/>
  <c r="AM46" i="50"/>
  <c r="AK46" i="50"/>
  <c r="AJ46" i="50"/>
  <c r="AN46" i="50"/>
  <c r="AL71" i="50"/>
  <c r="AM71" i="50"/>
  <c r="AJ71" i="50"/>
  <c r="AN71" i="50"/>
  <c r="AK71" i="50"/>
  <c r="AJ90" i="47"/>
  <c r="AK90" i="47"/>
  <c r="AL90" i="47"/>
  <c r="AM90" i="47"/>
  <c r="AN90" i="47"/>
  <c r="M72" i="2"/>
  <c r="K72" i="2"/>
  <c r="AK29" i="45"/>
  <c r="AM29" i="45"/>
  <c r="AL29" i="45"/>
  <c r="AJ29" i="45"/>
  <c r="AN29" i="45"/>
  <c r="AN81" i="44"/>
  <c r="AL81" i="44"/>
  <c r="AM81" i="44"/>
  <c r="AK81" i="44"/>
  <c r="AJ81" i="44"/>
  <c r="AJ95" i="33"/>
  <c r="AM95" i="33"/>
  <c r="AK95" i="33"/>
  <c r="AN95" i="33"/>
  <c r="AL95" i="33"/>
  <c r="AJ18" i="45"/>
  <c r="AM18" i="45"/>
  <c r="AK18" i="45"/>
  <c r="AN18" i="45"/>
  <c r="AL18" i="45"/>
  <c r="AM68" i="49"/>
  <c r="AL68" i="49"/>
  <c r="AK68" i="49"/>
  <c r="AJ68" i="49"/>
  <c r="AN68" i="49"/>
  <c r="AN80" i="44"/>
  <c r="AJ80" i="44"/>
  <c r="AK80" i="44"/>
  <c r="AL80" i="44"/>
  <c r="AM80" i="44"/>
  <c r="AK78" i="53"/>
  <c r="AN78" i="53"/>
  <c r="AM78" i="53"/>
  <c r="AJ78" i="53"/>
  <c r="AL78" i="53"/>
  <c r="AK70" i="53"/>
  <c r="AM70" i="53"/>
  <c r="AN70" i="53"/>
  <c r="AJ70" i="53"/>
  <c r="AL70" i="53"/>
  <c r="AJ59" i="51"/>
  <c r="AM59" i="51"/>
  <c r="AL59" i="51"/>
  <c r="AN59" i="51"/>
  <c r="AK59" i="51"/>
  <c r="AM72" i="34"/>
  <c r="AN72" i="34"/>
  <c r="AK72" i="34"/>
  <c r="AJ72" i="34"/>
  <c r="AL72" i="34"/>
  <c r="K103" i="2"/>
  <c r="M103" i="2"/>
  <c r="AL26" i="44"/>
  <c r="AJ26" i="44"/>
  <c r="AM26" i="44"/>
  <c r="AN26" i="44"/>
  <c r="AK26" i="44"/>
  <c r="AN36" i="44"/>
  <c r="AL36" i="44"/>
  <c r="AK36" i="44"/>
  <c r="AM36" i="44"/>
  <c r="AJ36" i="44"/>
  <c r="AN24" i="53"/>
  <c r="AJ24" i="53"/>
  <c r="AL24" i="53"/>
  <c r="AK24" i="53"/>
  <c r="AM24" i="53"/>
  <c r="AN91" i="52"/>
  <c r="AM91" i="52"/>
  <c r="AL91" i="52"/>
  <c r="AJ91" i="52"/>
  <c r="AK91" i="52"/>
  <c r="AL31" i="51"/>
  <c r="AM31" i="51"/>
  <c r="AK31" i="51"/>
  <c r="AN31" i="51"/>
  <c r="AJ31" i="51"/>
  <c r="AJ83" i="46"/>
  <c r="AM83" i="46"/>
  <c r="AN83" i="46"/>
  <c r="AK83" i="46"/>
  <c r="AL83" i="46"/>
  <c r="AM88" i="47"/>
  <c r="AK88" i="47"/>
  <c r="AL88" i="47"/>
  <c r="AJ88" i="47"/>
  <c r="AN88" i="47"/>
  <c r="AL18" i="44"/>
  <c r="AK18" i="44"/>
  <c r="AN18" i="44"/>
  <c r="AM18" i="44"/>
  <c r="AJ18" i="44"/>
  <c r="AL27" i="48"/>
  <c r="AJ27" i="48"/>
  <c r="AN27" i="48"/>
  <c r="AM27" i="48"/>
  <c r="AK27" i="48"/>
  <c r="AN103" i="51"/>
  <c r="AM103" i="51"/>
  <c r="AL103" i="51"/>
  <c r="AK103" i="51"/>
  <c r="AJ103" i="51"/>
  <c r="AL110" i="49"/>
  <c r="AN110" i="49"/>
  <c r="AM110" i="49"/>
  <c r="AJ110" i="49"/>
  <c r="AK110" i="49"/>
  <c r="AK99" i="51"/>
  <c r="AJ99" i="51"/>
  <c r="AM99" i="51"/>
  <c r="AN99" i="51"/>
  <c r="AL99" i="51"/>
  <c r="AK38" i="51"/>
  <c r="AM38" i="51"/>
  <c r="AL38" i="51"/>
  <c r="AJ38" i="51"/>
  <c r="AN38" i="51"/>
  <c r="AJ31" i="48"/>
  <c r="AN31" i="48"/>
  <c r="AL31" i="48"/>
  <c r="AK31" i="48"/>
  <c r="AM31" i="48"/>
  <c r="AK33" i="52"/>
  <c r="AL33" i="52"/>
  <c r="AN33" i="52"/>
  <c r="AJ33" i="52"/>
  <c r="AM33" i="52"/>
  <c r="AM17" i="51"/>
  <c r="AK17" i="51"/>
  <c r="AJ17" i="51"/>
  <c r="AL17" i="51"/>
  <c r="AN17" i="51"/>
  <c r="AJ80" i="53"/>
  <c r="AM80" i="53"/>
  <c r="AL80" i="53"/>
  <c r="AK80" i="53"/>
  <c r="AN80" i="53"/>
  <c r="AL95" i="52"/>
  <c r="AJ95" i="52"/>
  <c r="AN95" i="52"/>
  <c r="AM95" i="52"/>
  <c r="AK95" i="52"/>
  <c r="AJ53" i="52"/>
  <c r="AN53" i="52"/>
  <c r="AM53" i="52"/>
  <c r="AL53" i="52"/>
  <c r="AK53" i="52"/>
  <c r="AK23" i="48"/>
  <c r="AM23" i="48"/>
  <c r="AJ23" i="48"/>
  <c r="AN23" i="48"/>
  <c r="AL23" i="48"/>
  <c r="AJ98" i="46"/>
  <c r="AK98" i="46"/>
  <c r="AL98" i="46"/>
  <c r="AM98" i="46"/>
  <c r="AN98" i="46"/>
  <c r="AM105" i="48"/>
  <c r="AN105" i="48"/>
  <c r="AL105" i="48"/>
  <c r="AJ105" i="48"/>
  <c r="AK105" i="48"/>
  <c r="AN90" i="31"/>
  <c r="AK90" i="31"/>
  <c r="AL90" i="31"/>
  <c r="AM90" i="31"/>
  <c r="AJ90" i="31"/>
  <c r="AJ89" i="45"/>
  <c r="AL89" i="45"/>
  <c r="AK89" i="45"/>
  <c r="AN89" i="45"/>
  <c r="AM89" i="45"/>
  <c r="AK28" i="44"/>
  <c r="AM28" i="44"/>
  <c r="AJ28" i="44"/>
  <c r="AN28" i="44"/>
  <c r="AL28" i="44"/>
  <c r="AM70" i="33"/>
  <c r="AK70" i="33"/>
  <c r="AL70" i="33"/>
  <c r="AJ70" i="33"/>
  <c r="AN70" i="33"/>
  <c r="AK77" i="45"/>
  <c r="AM77" i="45"/>
  <c r="AL77" i="45"/>
  <c r="AN77" i="45"/>
  <c r="AJ77" i="45"/>
  <c r="AJ108" i="34"/>
  <c r="AM108" i="34"/>
  <c r="AN108" i="34"/>
  <c r="AK108" i="34"/>
  <c r="AL108" i="34"/>
  <c r="AN103" i="44"/>
  <c r="AM103" i="44"/>
  <c r="AJ103" i="44"/>
  <c r="AK103" i="44"/>
  <c r="AL103" i="44"/>
  <c r="AM35" i="48"/>
  <c r="AK35" i="48"/>
  <c r="AL35" i="48"/>
  <c r="AJ35" i="48"/>
  <c r="AN35" i="48"/>
  <c r="AN83" i="48"/>
  <c r="AM83" i="48"/>
  <c r="AL83" i="48"/>
  <c r="AK83" i="48"/>
  <c r="AJ83" i="48"/>
  <c r="AJ54" i="51"/>
  <c r="AN54" i="51"/>
  <c r="AL54" i="51"/>
  <c r="AM54" i="51"/>
  <c r="AK54" i="51"/>
  <c r="AN23" i="45"/>
  <c r="AK23" i="45"/>
  <c r="AJ23" i="45"/>
  <c r="AM23" i="45"/>
  <c r="AL23" i="45"/>
  <c r="AJ86" i="31"/>
  <c r="AM86" i="31"/>
  <c r="AL86" i="31"/>
  <c r="AN86" i="31"/>
  <c r="AK86" i="31"/>
  <c r="AM35" i="46"/>
  <c r="AJ35" i="46"/>
  <c r="AL35" i="46"/>
  <c r="AK35" i="46"/>
  <c r="AN35" i="46"/>
  <c r="AJ86" i="32"/>
  <c r="AK86" i="32"/>
  <c r="AN86" i="32"/>
  <c r="AL86" i="32"/>
  <c r="AM86" i="32"/>
  <c r="AM13" i="49"/>
  <c r="AL13" i="49"/>
  <c r="AK13" i="49"/>
  <c r="AJ13" i="49"/>
  <c r="AN13" i="49"/>
  <c r="AK25" i="44"/>
  <c r="AN25" i="44"/>
  <c r="AJ25" i="44"/>
  <c r="AL25" i="44"/>
  <c r="AM25" i="44"/>
  <c r="AM96" i="34"/>
  <c r="AJ96" i="34"/>
  <c r="AN96" i="34"/>
  <c r="AK96" i="34"/>
  <c r="AL96" i="34"/>
  <c r="AN49" i="44"/>
  <c r="AK49" i="44"/>
  <c r="AJ49" i="44"/>
  <c r="AM49" i="44"/>
  <c r="AL49" i="44"/>
  <c r="AN81" i="45"/>
  <c r="AJ81" i="45"/>
  <c r="AK81" i="45"/>
  <c r="AL81" i="45"/>
  <c r="AM81" i="45"/>
  <c r="AK85" i="33"/>
  <c r="AN85" i="33"/>
  <c r="AL85" i="33"/>
  <c r="AJ85" i="33"/>
  <c r="AM85" i="33"/>
  <c r="AL88" i="53"/>
  <c r="AN88" i="53"/>
  <c r="AM88" i="53"/>
  <c r="AK88" i="53"/>
  <c r="AJ88" i="53"/>
  <c r="AN83" i="52"/>
  <c r="AL83" i="52"/>
  <c r="AK83" i="52"/>
  <c r="AM83" i="52"/>
  <c r="AJ83" i="52"/>
  <c r="AL87" i="47"/>
  <c r="AK87" i="47"/>
  <c r="AJ87" i="47"/>
  <c r="AM87" i="47"/>
  <c r="AN87" i="47"/>
  <c r="AK90" i="22"/>
  <c r="AL90" i="22"/>
  <c r="AJ90" i="22"/>
  <c r="AN90" i="22"/>
  <c r="AM90" i="22"/>
  <c r="AJ56" i="44"/>
  <c r="AM56" i="44"/>
  <c r="AL56" i="44"/>
  <c r="AK56" i="44"/>
  <c r="AN56" i="44"/>
  <c r="AL39" i="50"/>
  <c r="AM39" i="50"/>
  <c r="AJ39" i="50"/>
  <c r="AN39" i="50"/>
  <c r="AK39" i="50"/>
  <c r="AJ58" i="48"/>
  <c r="AN58" i="48"/>
  <c r="AM58" i="48"/>
  <c r="AK58" i="48"/>
  <c r="AL58" i="48"/>
  <c r="AK45" i="51"/>
  <c r="AJ45" i="51"/>
  <c r="AN45" i="51"/>
  <c r="AL45" i="51"/>
  <c r="AM45" i="51"/>
  <c r="AK85" i="50"/>
  <c r="AN85" i="50"/>
  <c r="AM85" i="50"/>
  <c r="AJ85" i="50"/>
  <c r="AL85" i="50"/>
  <c r="AL77" i="32"/>
  <c r="AM77" i="32"/>
  <c r="AK77" i="32"/>
  <c r="AN77" i="32"/>
  <c r="AJ77" i="32"/>
  <c r="AN104" i="46"/>
  <c r="AM104" i="46"/>
  <c r="AJ104" i="46"/>
  <c r="AK104" i="46"/>
  <c r="AL104" i="46"/>
  <c r="AJ47" i="52"/>
  <c r="AL47" i="52"/>
  <c r="AK47" i="52"/>
  <c r="AM47" i="52"/>
  <c r="AN47" i="52"/>
  <c r="AL70" i="44"/>
  <c r="AK70" i="44"/>
  <c r="AJ70" i="44"/>
  <c r="AM70" i="44"/>
  <c r="AN70" i="44"/>
  <c r="AK102" i="33"/>
  <c r="AL102" i="33"/>
  <c r="AN102" i="33"/>
  <c r="AM102" i="33"/>
  <c r="AJ102" i="33"/>
  <c r="AK27" i="49"/>
  <c r="AL27" i="49"/>
  <c r="AN27" i="49"/>
  <c r="AM27" i="49"/>
  <c r="AJ27" i="49"/>
  <c r="AL98" i="22"/>
  <c r="AN98" i="22"/>
  <c r="AK98" i="22"/>
  <c r="AM98" i="22"/>
  <c r="AJ98" i="22"/>
  <c r="AN75" i="46"/>
  <c r="AJ75" i="46"/>
  <c r="AK75" i="46"/>
  <c r="AM75" i="46"/>
  <c r="AL75" i="46"/>
  <c r="AK73" i="50"/>
  <c r="AL73" i="50"/>
  <c r="AN73" i="50"/>
  <c r="AM73" i="50"/>
  <c r="AJ73" i="50"/>
  <c r="AL43" i="49"/>
  <c r="AJ43" i="49"/>
  <c r="AM43" i="49"/>
  <c r="AN43" i="49"/>
  <c r="AK43" i="49"/>
  <c r="AJ68" i="44"/>
  <c r="AM68" i="44"/>
  <c r="AK68" i="44"/>
  <c r="AN68" i="44"/>
  <c r="AL68" i="44"/>
  <c r="AK30" i="47"/>
  <c r="AM30" i="47"/>
  <c r="AJ30" i="47"/>
  <c r="AN30" i="47"/>
  <c r="AL30" i="47"/>
  <c r="AL36" i="53"/>
  <c r="AN36" i="53"/>
  <c r="AJ36" i="53"/>
  <c r="AK36" i="53"/>
  <c r="AM36" i="53"/>
  <c r="AK110" i="22"/>
  <c r="AL110" i="22"/>
  <c r="AJ110" i="22"/>
  <c r="AM110" i="22"/>
  <c r="AN110" i="22"/>
  <c r="AN48" i="53"/>
  <c r="AK48" i="53"/>
  <c r="AM48" i="53"/>
  <c r="AL48" i="53"/>
  <c r="AJ48" i="53"/>
  <c r="AN92" i="53"/>
  <c r="AK92" i="53"/>
  <c r="AL92" i="53"/>
  <c r="AM92" i="53"/>
  <c r="AJ92" i="53"/>
  <c r="K107" i="2"/>
  <c r="M107" i="2"/>
  <c r="K109" i="2"/>
  <c r="M109" i="2"/>
  <c r="AM65" i="31"/>
  <c r="AN65" i="31"/>
  <c r="AL65" i="31"/>
  <c r="AJ65" i="31"/>
  <c r="AK65" i="31"/>
  <c r="AL73" i="22"/>
  <c r="AM73" i="22"/>
  <c r="AN73" i="22"/>
  <c r="AJ73" i="22"/>
  <c r="AK73" i="22"/>
  <c r="AN36" i="47"/>
  <c r="AJ36" i="47"/>
  <c r="AM36" i="47"/>
  <c r="AL36" i="47"/>
  <c r="AK36" i="47"/>
  <c r="AN32" i="49"/>
  <c r="AJ32" i="49"/>
  <c r="AM32" i="49"/>
  <c r="AK32" i="49"/>
  <c r="AL32" i="49"/>
  <c r="AM110" i="47"/>
  <c r="AN110" i="47"/>
  <c r="AK110" i="47"/>
  <c r="AJ110" i="47"/>
  <c r="AL110" i="47"/>
  <c r="AJ82" i="22"/>
  <c r="AM82" i="22"/>
  <c r="AK82" i="22"/>
  <c r="AN82" i="22"/>
  <c r="AL82" i="22"/>
  <c r="AJ93" i="31"/>
  <c r="AL93" i="31"/>
  <c r="AM93" i="31"/>
  <c r="AK93" i="31"/>
  <c r="AN93" i="31"/>
  <c r="K108" i="2"/>
  <c r="M108" i="2"/>
  <c r="AM102" i="51"/>
  <c r="AJ102" i="51"/>
  <c r="AL102" i="51"/>
  <c r="AK102" i="51"/>
  <c r="AN102" i="51"/>
  <c r="AM38" i="50"/>
  <c r="AK38" i="50"/>
  <c r="AJ38" i="50"/>
  <c r="AN38" i="50"/>
  <c r="AL38" i="50"/>
  <c r="AK26" i="48"/>
  <c r="AL26" i="48"/>
  <c r="AM26" i="48"/>
  <c r="AJ26" i="48"/>
  <c r="AN26" i="48"/>
  <c r="AM11" i="52"/>
  <c r="AJ11" i="52"/>
  <c r="AL11" i="52"/>
  <c r="AN11" i="52"/>
  <c r="AK11" i="52"/>
  <c r="AM76" i="32"/>
  <c r="AL76" i="32"/>
  <c r="AJ76" i="32"/>
  <c r="AN76" i="32"/>
  <c r="AK76" i="32"/>
  <c r="AN42" i="48"/>
  <c r="AM42" i="48"/>
  <c r="AJ42" i="48"/>
  <c r="AK42" i="48"/>
  <c r="AL42" i="48"/>
  <c r="AM12" i="50"/>
  <c r="AN12" i="50"/>
  <c r="AL12" i="50"/>
  <c r="AJ12" i="50"/>
  <c r="AK12" i="50"/>
  <c r="AK96" i="22"/>
  <c r="AM96" i="22"/>
  <c r="AN96" i="22"/>
  <c r="AJ96" i="22"/>
  <c r="AL96" i="22"/>
  <c r="AN102" i="45"/>
  <c r="AJ102" i="45"/>
  <c r="AM102" i="45"/>
  <c r="AL102" i="45"/>
  <c r="AK102" i="45"/>
  <c r="AJ40" i="51"/>
  <c r="AL40" i="51"/>
  <c r="AK40" i="51"/>
  <c r="AM40" i="51"/>
  <c r="AN40" i="51"/>
  <c r="AJ60" i="53"/>
  <c r="AM60" i="53"/>
  <c r="AN60" i="53"/>
  <c r="AK60" i="53"/>
  <c r="AL60" i="53"/>
  <c r="AL20" i="53"/>
  <c r="AM20" i="53"/>
  <c r="AN20" i="53"/>
  <c r="AK20" i="53"/>
  <c r="AJ20" i="53"/>
  <c r="AM85" i="46"/>
  <c r="AK85" i="46"/>
  <c r="AJ85" i="46"/>
  <c r="AN85" i="46"/>
  <c r="AL85" i="46"/>
  <c r="AK18" i="53"/>
  <c r="AL18" i="53"/>
  <c r="AJ18" i="53"/>
  <c r="AN18" i="53"/>
  <c r="AM18" i="53"/>
  <c r="AL94" i="48"/>
  <c r="AK94" i="48"/>
  <c r="AN94" i="48"/>
  <c r="AM94" i="48"/>
  <c r="AJ94" i="48"/>
  <c r="AL16" i="50"/>
  <c r="AK16" i="50"/>
  <c r="AM16" i="50"/>
  <c r="AJ16" i="50"/>
  <c r="AN16" i="50"/>
  <c r="K78" i="2"/>
  <c r="M78" i="2"/>
  <c r="AL91" i="50"/>
  <c r="AM91" i="50"/>
  <c r="AK91" i="50"/>
  <c r="AJ91" i="50"/>
  <c r="AN91" i="50"/>
  <c r="AL38" i="45"/>
  <c r="AM38" i="45"/>
  <c r="AJ38" i="45"/>
  <c r="AN38" i="45"/>
  <c r="AK38" i="45"/>
  <c r="AM96" i="48"/>
  <c r="AK96" i="48"/>
  <c r="AN96" i="48"/>
  <c r="AL96" i="48"/>
  <c r="AJ96" i="48"/>
  <c r="AK59" i="44"/>
  <c r="AM59" i="44"/>
  <c r="AL59" i="44"/>
  <c r="AJ59" i="44"/>
  <c r="AN59" i="44"/>
  <c r="AM60" i="46"/>
  <c r="AK60" i="46"/>
  <c r="AL60" i="46"/>
  <c r="AN60" i="46"/>
  <c r="AJ60" i="46"/>
  <c r="AN66" i="51"/>
  <c r="AJ66" i="51"/>
  <c r="AL66" i="51"/>
  <c r="AM66" i="51"/>
  <c r="AK66" i="51"/>
  <c r="AN66" i="34"/>
  <c r="AK66" i="34"/>
  <c r="AJ66" i="34"/>
  <c r="AL66" i="34"/>
  <c r="AM66" i="34"/>
  <c r="AM68" i="33"/>
  <c r="AL68" i="33"/>
  <c r="AN68" i="33"/>
  <c r="AJ68" i="33"/>
  <c r="AK68" i="33"/>
  <c r="AK81" i="51"/>
  <c r="AN81" i="51"/>
  <c r="AJ81" i="51"/>
  <c r="AL81" i="51"/>
  <c r="AM81" i="51"/>
  <c r="K98" i="2"/>
  <c r="M98" i="2"/>
  <c r="AL56" i="46"/>
  <c r="AK56" i="46"/>
  <c r="AJ56" i="46"/>
  <c r="AM56" i="46"/>
  <c r="AN56" i="46"/>
  <c r="AN48" i="47"/>
  <c r="AK48" i="47"/>
  <c r="AJ48" i="47"/>
  <c r="AM48" i="47"/>
  <c r="AL48" i="47"/>
  <c r="AM75" i="48"/>
  <c r="AL75" i="48"/>
  <c r="AK75" i="48"/>
  <c r="AN75" i="48"/>
  <c r="AJ75" i="48"/>
  <c r="AJ47" i="49"/>
  <c r="AN47" i="49"/>
  <c r="AL47" i="49"/>
  <c r="AM47" i="49"/>
  <c r="AK47" i="49"/>
  <c r="AN30" i="46"/>
  <c r="AK30" i="46"/>
  <c r="AM30" i="46"/>
  <c r="AL30" i="46"/>
  <c r="AJ30" i="46"/>
  <c r="AL20" i="44"/>
  <c r="AM20" i="44"/>
  <c r="AJ20" i="44"/>
  <c r="AN20" i="44"/>
  <c r="AK20" i="44"/>
  <c r="AL97" i="45"/>
  <c r="AJ97" i="45"/>
  <c r="AK97" i="45"/>
  <c r="AN97" i="45"/>
  <c r="AM97" i="45"/>
  <c r="AN54" i="46"/>
  <c r="AL54" i="46"/>
  <c r="AJ54" i="46"/>
  <c r="AK54" i="46"/>
  <c r="AM54" i="46"/>
  <c r="AM49" i="46"/>
  <c r="AN49" i="46"/>
  <c r="AK49" i="46"/>
  <c r="AL49" i="46"/>
  <c r="AJ49" i="46"/>
  <c r="AM97" i="51"/>
  <c r="AJ97" i="51"/>
  <c r="AN97" i="51"/>
  <c r="AL97" i="51"/>
  <c r="AK97" i="51"/>
  <c r="AN35" i="47"/>
  <c r="AK35" i="47"/>
  <c r="AL35" i="47"/>
  <c r="AM35" i="47"/>
  <c r="AJ35" i="47"/>
  <c r="AK61" i="45"/>
  <c r="AM61" i="45"/>
  <c r="AL61" i="45"/>
  <c r="AN61" i="45"/>
  <c r="AJ61" i="45"/>
  <c r="AK110" i="34"/>
  <c r="AJ110" i="34"/>
  <c r="AL110" i="34"/>
  <c r="AM110" i="34"/>
  <c r="AN110" i="34"/>
  <c r="AN102" i="34"/>
  <c r="AL102" i="34"/>
  <c r="AM102" i="34"/>
  <c r="AK102" i="34"/>
  <c r="AJ102" i="34"/>
  <c r="K92" i="2"/>
  <c r="M92" i="2"/>
  <c r="AK57" i="53"/>
  <c r="AL57" i="53"/>
  <c r="AM57" i="53"/>
  <c r="AN57" i="53"/>
  <c r="AJ57" i="53"/>
  <c r="AL38" i="52"/>
  <c r="AN38" i="52"/>
  <c r="AK38" i="52"/>
  <c r="AM38" i="52"/>
  <c r="AJ38" i="52"/>
  <c r="AM90" i="44"/>
  <c r="AK90" i="44"/>
  <c r="AN90" i="44"/>
  <c r="AL90" i="44"/>
  <c r="AJ90" i="44"/>
  <c r="AK71" i="33"/>
  <c r="AJ71" i="33"/>
  <c r="AL71" i="33"/>
  <c r="AM71" i="33"/>
  <c r="AN71" i="33"/>
  <c r="AJ107" i="33"/>
  <c r="AK107" i="33"/>
  <c r="AM107" i="33"/>
  <c r="AL107" i="33"/>
  <c r="AN107" i="33"/>
  <c r="AM45" i="47"/>
  <c r="AN45" i="47"/>
  <c r="AL45" i="47"/>
  <c r="AK45" i="47"/>
  <c r="AJ45" i="47"/>
  <c r="AN63" i="51"/>
  <c r="AM63" i="51"/>
  <c r="AJ63" i="51"/>
  <c r="AL63" i="51"/>
  <c r="AK63" i="51"/>
  <c r="AM35" i="53"/>
  <c r="AL35" i="53"/>
  <c r="AN35" i="53"/>
  <c r="AJ35" i="53"/>
  <c r="AK35" i="53"/>
  <c r="AJ59" i="50"/>
  <c r="AN59" i="50"/>
  <c r="AL59" i="50"/>
  <c r="AK59" i="50"/>
  <c r="AM59" i="50"/>
  <c r="AL66" i="32"/>
  <c r="AM66" i="32"/>
  <c r="AK66" i="32"/>
  <c r="AN66" i="32"/>
  <c r="AJ66" i="32"/>
  <c r="AK53" i="47"/>
  <c r="AM53" i="47"/>
  <c r="AL53" i="47"/>
  <c r="AJ53" i="47"/>
  <c r="AN53" i="47"/>
  <c r="AM44" i="53"/>
  <c r="AN44" i="53"/>
  <c r="AK44" i="53"/>
  <c r="AL44" i="53"/>
  <c r="AJ44" i="53"/>
  <c r="AM92" i="34"/>
  <c r="AK92" i="34"/>
  <c r="AL92" i="34"/>
  <c r="AJ92" i="34"/>
  <c r="AN92" i="34"/>
  <c r="AK92" i="22"/>
  <c r="AM92" i="22"/>
  <c r="AN92" i="22"/>
  <c r="AJ92" i="22"/>
  <c r="AL92" i="22"/>
  <c r="AL102" i="49"/>
  <c r="AJ102" i="49"/>
  <c r="AN102" i="49"/>
  <c r="AM102" i="49"/>
  <c r="AK102" i="49"/>
  <c r="AJ74" i="45"/>
  <c r="AL74" i="45"/>
  <c r="AK74" i="45"/>
  <c r="AM74" i="45"/>
  <c r="AN74" i="45"/>
  <c r="AN71" i="32"/>
  <c r="AK71" i="32"/>
  <c r="AL71" i="32"/>
  <c r="AJ71" i="32"/>
  <c r="AM71" i="32"/>
  <c r="AL104" i="32"/>
  <c r="AM104" i="32"/>
  <c r="AN104" i="32"/>
  <c r="AJ104" i="32"/>
  <c r="AK104" i="32"/>
  <c r="AM56" i="45"/>
  <c r="AL56" i="45"/>
  <c r="AJ56" i="45"/>
  <c r="AK56" i="45"/>
  <c r="AN56" i="45"/>
  <c r="AM66" i="46"/>
  <c r="AK66" i="46"/>
  <c r="AN66" i="46"/>
  <c r="AJ66" i="46"/>
  <c r="AL66" i="46"/>
  <c r="AM94" i="53"/>
  <c r="AN94" i="53"/>
  <c r="AK94" i="53"/>
  <c r="AJ94" i="53"/>
  <c r="AL94" i="53"/>
  <c r="AK24" i="48"/>
  <c r="AL24" i="48"/>
  <c r="AJ24" i="48"/>
  <c r="AM24" i="48"/>
  <c r="AN24" i="48"/>
  <c r="AL107" i="49"/>
  <c r="AM107" i="49"/>
  <c r="AJ107" i="49"/>
  <c r="AK107" i="49"/>
  <c r="AN107" i="49"/>
  <c r="AJ13" i="45"/>
  <c r="AN13" i="45"/>
  <c r="AK13" i="45"/>
  <c r="AM13" i="45"/>
  <c r="AL13" i="45"/>
  <c r="AK59" i="52"/>
  <c r="AM59" i="52"/>
  <c r="AN59" i="52"/>
  <c r="AL59" i="52"/>
  <c r="AJ59" i="52"/>
  <c r="AK103" i="49"/>
  <c r="AN103" i="49"/>
  <c r="AJ103" i="49"/>
  <c r="AL103" i="49"/>
  <c r="AM103" i="49"/>
  <c r="AJ54" i="52"/>
  <c r="AN54" i="52"/>
  <c r="AL54" i="52"/>
  <c r="AM54" i="52"/>
  <c r="AK54" i="52"/>
  <c r="AN90" i="52"/>
  <c r="AK90" i="52"/>
  <c r="AM90" i="52"/>
  <c r="AL90" i="52"/>
  <c r="AJ90" i="52"/>
  <c r="AL24" i="46"/>
  <c r="AK24" i="46"/>
  <c r="AM24" i="46"/>
  <c r="AJ24" i="46"/>
  <c r="AN24" i="46"/>
  <c r="AL41" i="53"/>
  <c r="AM41" i="53"/>
  <c r="AK41" i="53"/>
  <c r="AJ41" i="53"/>
  <c r="AN41" i="53"/>
  <c r="AM19" i="45"/>
  <c r="AJ19" i="45"/>
  <c r="AN19" i="45"/>
  <c r="AL19" i="45"/>
  <c r="AK19" i="45"/>
  <c r="AM63" i="50"/>
  <c r="AN63" i="50"/>
  <c r="AL63" i="50"/>
  <c r="AK63" i="50"/>
  <c r="AJ63" i="50"/>
  <c r="M94" i="2"/>
  <c r="K94" i="2"/>
  <c r="AM67" i="52"/>
  <c r="AJ67" i="52"/>
  <c r="AN67" i="52"/>
  <c r="AL67" i="52"/>
  <c r="AK67" i="52"/>
  <c r="AK109" i="33"/>
  <c r="AL109" i="33"/>
  <c r="AN109" i="33"/>
  <c r="AJ109" i="33"/>
  <c r="AM109" i="33"/>
  <c r="AM50" i="51"/>
  <c r="AL50" i="51"/>
  <c r="AJ50" i="51"/>
  <c r="AK50" i="51"/>
  <c r="AN50" i="51"/>
  <c r="AJ90" i="51"/>
  <c r="AK90" i="51"/>
  <c r="AN90" i="51"/>
  <c r="AL90" i="51"/>
  <c r="AM90" i="51"/>
  <c r="AN50" i="44"/>
  <c r="AK50" i="44"/>
  <c r="AJ50" i="44"/>
  <c r="AL50" i="44"/>
  <c r="AM50" i="44"/>
  <c r="AN31" i="45"/>
  <c r="AL31" i="45"/>
  <c r="AM31" i="45"/>
  <c r="AK31" i="45"/>
  <c r="AJ31" i="45"/>
  <c r="AN77" i="22"/>
  <c r="AL77" i="22"/>
  <c r="AM77" i="22"/>
  <c r="AK77" i="22"/>
  <c r="AJ77" i="22"/>
  <c r="AL54" i="45"/>
  <c r="AM54" i="45"/>
  <c r="AN54" i="45"/>
  <c r="AJ54" i="45"/>
  <c r="AK54" i="45"/>
  <c r="AJ22" i="44"/>
  <c r="AN22" i="44"/>
  <c r="AK22" i="44"/>
  <c r="AM22" i="44"/>
  <c r="AL22" i="44"/>
  <c r="M76" i="2"/>
  <c r="K76" i="2"/>
  <c r="AN44" i="45"/>
  <c r="AJ44" i="45"/>
  <c r="AL44" i="45"/>
  <c r="AK44" i="45"/>
  <c r="AM44" i="45"/>
  <c r="AM76" i="31"/>
  <c r="AL76" i="31"/>
  <c r="AN76" i="31"/>
  <c r="AJ76" i="31"/>
  <c r="AK76" i="31"/>
  <c r="AL78" i="22"/>
  <c r="AJ78" i="22"/>
  <c r="AM78" i="22"/>
  <c r="AN78" i="22"/>
  <c r="AK78" i="22"/>
  <c r="AN31" i="50"/>
  <c r="AM31" i="50"/>
  <c r="AK31" i="50"/>
  <c r="AL31" i="50"/>
  <c r="AJ31" i="50"/>
  <c r="AJ47" i="50"/>
  <c r="AN47" i="50"/>
  <c r="AL47" i="50"/>
  <c r="AM47" i="50"/>
  <c r="AK47" i="50"/>
  <c r="AN65" i="44"/>
  <c r="AL65" i="44"/>
  <c r="AK65" i="44"/>
  <c r="AJ65" i="44"/>
  <c r="AM65" i="44"/>
  <c r="AM34" i="51"/>
  <c r="AK34" i="51"/>
  <c r="AN34" i="51"/>
  <c r="AJ34" i="51"/>
  <c r="AL34" i="51"/>
  <c r="AJ77" i="34"/>
  <c r="AL77" i="34"/>
  <c r="AM77" i="34"/>
  <c r="AN77" i="34"/>
  <c r="AK77" i="34"/>
  <c r="AM22" i="45"/>
  <c r="AK22" i="45"/>
  <c r="AJ22" i="45"/>
  <c r="AN22" i="45"/>
  <c r="AL22" i="45"/>
  <c r="AN68" i="52"/>
  <c r="AL68" i="52"/>
  <c r="AM68" i="52"/>
  <c r="AK68" i="52"/>
  <c r="AJ68" i="52"/>
  <c r="AM25" i="46"/>
  <c r="AJ25" i="46"/>
  <c r="AN25" i="46"/>
  <c r="AK25" i="46"/>
  <c r="AL25" i="46"/>
  <c r="AL94" i="31"/>
  <c r="AJ94" i="31"/>
  <c r="AM94" i="31"/>
  <c r="AK94" i="31"/>
  <c r="AN94" i="31"/>
  <c r="M89" i="2"/>
  <c r="K89" i="2"/>
  <c r="M85" i="2"/>
  <c r="K85" i="2"/>
  <c r="AL65" i="22"/>
  <c r="AM65" i="22"/>
  <c r="AJ65" i="22"/>
  <c r="AK65" i="22"/>
  <c r="AN65" i="22"/>
  <c r="AL103" i="46"/>
  <c r="AM103" i="46"/>
  <c r="AJ103" i="46"/>
  <c r="AK103" i="46"/>
  <c r="AN103" i="46"/>
  <c r="AM21" i="52"/>
  <c r="AL21" i="52"/>
  <c r="AK21" i="52"/>
  <c r="AN21" i="52"/>
  <c r="AJ21" i="52"/>
  <c r="AL65" i="32"/>
  <c r="AM65" i="32"/>
  <c r="AN65" i="32"/>
  <c r="AJ65" i="32"/>
  <c r="AK65" i="32"/>
  <c r="AN15" i="47"/>
  <c r="AJ15" i="47"/>
  <c r="AL15" i="47"/>
  <c r="AM15" i="47"/>
  <c r="AK15" i="47"/>
  <c r="AN96" i="47"/>
  <c r="AK96" i="47"/>
  <c r="AJ96" i="47"/>
  <c r="AL96" i="47"/>
  <c r="AM96" i="47"/>
  <c r="AL19" i="48"/>
  <c r="AM19" i="48"/>
  <c r="AN19" i="48"/>
  <c r="AK19" i="48"/>
  <c r="AJ19" i="48"/>
  <c r="AN21" i="53"/>
  <c r="AJ21" i="53"/>
  <c r="AM21" i="53"/>
  <c r="AL21" i="53"/>
  <c r="AK21" i="53"/>
  <c r="AJ105" i="53"/>
  <c r="AN105" i="53"/>
  <c r="AM105" i="53"/>
  <c r="AK105" i="53"/>
  <c r="AL105" i="53"/>
  <c r="AL54" i="53"/>
  <c r="AM54" i="53"/>
  <c r="AK54" i="53"/>
  <c r="AN54" i="53"/>
  <c r="AJ54" i="53"/>
  <c r="AJ11" i="46"/>
  <c r="AK11" i="46"/>
  <c r="AL11" i="46"/>
  <c r="AM11" i="46"/>
  <c r="AN11" i="46"/>
  <c r="AN109" i="52"/>
  <c r="AM109" i="52"/>
  <c r="AL109" i="52"/>
  <c r="AJ109" i="52"/>
  <c r="AK109" i="52"/>
  <c r="AN86" i="52"/>
  <c r="AL86" i="52"/>
  <c r="AJ86" i="52"/>
  <c r="AK86" i="52"/>
  <c r="AM86" i="52"/>
  <c r="AM42" i="46"/>
  <c r="AJ42" i="46"/>
  <c r="AN42" i="46"/>
  <c r="AL42" i="46"/>
  <c r="AK42" i="46"/>
  <c r="AJ105" i="50"/>
  <c r="AK105" i="50"/>
  <c r="AL105" i="50"/>
  <c r="AN105" i="50"/>
  <c r="AM105" i="50"/>
  <c r="AM23" i="53"/>
  <c r="AJ23" i="53"/>
  <c r="AN23" i="53"/>
  <c r="AL23" i="53"/>
  <c r="AK23" i="53"/>
  <c r="AM45" i="53"/>
  <c r="AJ45" i="53"/>
  <c r="AK45" i="53"/>
  <c r="AL45" i="53"/>
  <c r="AN45" i="53"/>
  <c r="AM74" i="53"/>
  <c r="AK74" i="53"/>
  <c r="AJ74" i="53"/>
  <c r="AN74" i="53"/>
  <c r="AL74" i="53"/>
  <c r="AJ86" i="47"/>
  <c r="AN86" i="47"/>
  <c r="AK86" i="47"/>
  <c r="AL86" i="47"/>
  <c r="AM86" i="47"/>
  <c r="AM83" i="47"/>
  <c r="AJ83" i="47"/>
  <c r="AN83" i="47"/>
  <c r="AK83" i="47"/>
  <c r="AL83" i="47"/>
  <c r="AN73" i="47"/>
  <c r="AM73" i="47"/>
  <c r="AK73" i="47"/>
  <c r="AL73" i="47"/>
  <c r="AJ73" i="47"/>
  <c r="K99" i="2"/>
  <c r="M99" i="2"/>
  <c r="AK53" i="48"/>
  <c r="AL53" i="48"/>
  <c r="AJ53" i="48"/>
  <c r="AM53" i="48"/>
  <c r="AN53" i="48"/>
  <c r="AM81" i="52"/>
  <c r="AN81" i="52"/>
  <c r="AK81" i="52"/>
  <c r="AJ81" i="52"/>
  <c r="AL81" i="52"/>
  <c r="AK24" i="45"/>
  <c r="AJ24" i="45"/>
  <c r="AL24" i="45"/>
  <c r="AM24" i="45"/>
  <c r="AN24" i="45"/>
  <c r="AJ100" i="49"/>
  <c r="AN100" i="49"/>
  <c r="AM100" i="49"/>
  <c r="AL100" i="49"/>
  <c r="AK100" i="49"/>
  <c r="M88" i="2"/>
  <c r="K88" i="2"/>
  <c r="AK108" i="22"/>
  <c r="AM108" i="22"/>
  <c r="AL108" i="22"/>
  <c r="AN108" i="22"/>
  <c r="AJ108" i="22"/>
  <c r="AM106" i="47"/>
  <c r="AK106" i="47"/>
  <c r="AJ106" i="47"/>
  <c r="AN106" i="47"/>
  <c r="AL106" i="47"/>
  <c r="AK75" i="44"/>
  <c r="AJ75" i="44"/>
  <c r="AL75" i="44"/>
  <c r="AM75" i="44"/>
  <c r="AN75" i="44"/>
  <c r="AM92" i="32"/>
  <c r="AJ92" i="32"/>
  <c r="AK92" i="32"/>
  <c r="AN92" i="32"/>
  <c r="AL92" i="32"/>
  <c r="AL52" i="44"/>
  <c r="AM52" i="44"/>
  <c r="AK52" i="44"/>
  <c r="AJ52" i="44"/>
  <c r="AN52" i="44"/>
  <c r="AM75" i="51"/>
  <c r="AL75" i="51"/>
  <c r="AK75" i="51"/>
  <c r="AN75" i="51"/>
  <c r="AJ75" i="51"/>
  <c r="AK82" i="45"/>
  <c r="AL82" i="45"/>
  <c r="AJ82" i="45"/>
  <c r="AM82" i="45"/>
  <c r="AN82" i="45"/>
  <c r="AN100" i="51"/>
  <c r="AK100" i="51"/>
  <c r="AM100" i="51"/>
  <c r="AL100" i="51"/>
  <c r="AJ100" i="51"/>
  <c r="AJ70" i="47"/>
  <c r="AL70" i="47"/>
  <c r="AM70" i="47"/>
  <c r="AN70" i="47"/>
  <c r="AK70" i="47"/>
  <c r="AL71" i="45"/>
  <c r="AK71" i="45"/>
  <c r="AJ71" i="45"/>
  <c r="AN71" i="45"/>
  <c r="AM71" i="45"/>
  <c r="AK41" i="51"/>
  <c r="AL41" i="51"/>
  <c r="AM41" i="51"/>
  <c r="AN41" i="51"/>
  <c r="AJ41" i="51"/>
  <c r="AL56" i="49"/>
  <c r="AM56" i="49"/>
  <c r="AJ56" i="49"/>
  <c r="AN56" i="49"/>
  <c r="AK56" i="49"/>
  <c r="AK73" i="31"/>
  <c r="AN73" i="31"/>
  <c r="AL73" i="31"/>
  <c r="AM73" i="31"/>
  <c r="AJ73" i="31"/>
  <c r="AM84" i="33"/>
  <c r="AL84" i="33"/>
  <c r="AK84" i="33"/>
  <c r="AN84" i="33"/>
  <c r="AJ84" i="33"/>
  <c r="AK106" i="45"/>
  <c r="AM106" i="45"/>
  <c r="AJ106" i="45"/>
  <c r="AL106" i="45"/>
  <c r="AN106" i="45"/>
  <c r="AM104" i="44"/>
  <c r="AK104" i="44"/>
  <c r="AL104" i="44"/>
  <c r="AN104" i="44"/>
  <c r="AJ104" i="44"/>
  <c r="AN89" i="44"/>
  <c r="AL89" i="44"/>
  <c r="AM89" i="44"/>
  <c r="AK89" i="44"/>
  <c r="AJ89" i="44"/>
  <c r="AK20" i="47"/>
  <c r="AM20" i="47"/>
  <c r="AL20" i="47"/>
  <c r="AN20" i="47"/>
  <c r="AJ20" i="47"/>
  <c r="AJ71" i="31"/>
  <c r="AN71" i="31"/>
  <c r="AK71" i="31"/>
  <c r="AL71" i="31"/>
  <c r="AM71" i="31"/>
  <c r="AJ45" i="46"/>
  <c r="AM45" i="46"/>
  <c r="AN45" i="46"/>
  <c r="AL45" i="46"/>
  <c r="AK45" i="46"/>
  <c r="AM60" i="51"/>
  <c r="AJ60" i="51"/>
  <c r="AN60" i="51"/>
  <c r="AK60" i="51"/>
  <c r="AL60" i="51"/>
  <c r="AK16" i="45"/>
  <c r="AN16" i="45"/>
  <c r="AL16" i="45"/>
  <c r="AM16" i="45"/>
  <c r="AJ16" i="45"/>
  <c r="AL25" i="49"/>
  <c r="AM25" i="49"/>
  <c r="AJ25" i="49"/>
  <c r="AK25" i="49"/>
  <c r="AN25" i="49"/>
  <c r="AM78" i="50"/>
  <c r="AN78" i="50"/>
  <c r="AJ78" i="50"/>
  <c r="AK78" i="50"/>
  <c r="AL78" i="50"/>
  <c r="AJ50" i="53"/>
  <c r="AL50" i="53"/>
  <c r="AM50" i="53"/>
  <c r="AK50" i="53"/>
  <c r="AN50" i="53"/>
  <c r="AN20" i="45"/>
  <c r="AK20" i="45"/>
  <c r="AL20" i="45"/>
  <c r="AM20" i="45"/>
  <c r="AJ20" i="45"/>
  <c r="AN86" i="49"/>
  <c r="AK86" i="49"/>
  <c r="AM86" i="49"/>
  <c r="AL86" i="49"/>
  <c r="AJ86" i="49"/>
  <c r="AL100" i="47"/>
  <c r="AJ100" i="47"/>
  <c r="AK100" i="47"/>
  <c r="AN100" i="47"/>
  <c r="AM100" i="47"/>
  <c r="AJ63" i="53"/>
  <c r="AL63" i="53"/>
  <c r="AK63" i="53"/>
  <c r="AN63" i="53"/>
  <c r="AM63" i="53"/>
  <c r="AM18" i="48"/>
  <c r="AK18" i="48"/>
  <c r="AJ18" i="48"/>
  <c r="AN18" i="48"/>
  <c r="AL18" i="48"/>
  <c r="AM85" i="49"/>
  <c r="AL85" i="49"/>
  <c r="AK85" i="49"/>
  <c r="AN85" i="49"/>
  <c r="AJ85" i="49"/>
  <c r="AK10" i="48"/>
  <c r="AJ10" i="48"/>
  <c r="AN10" i="48"/>
  <c r="AL10" i="48"/>
  <c r="AM10" i="48"/>
  <c r="AL50" i="50"/>
  <c r="AM50" i="50"/>
  <c r="AK50" i="50"/>
  <c r="AN50" i="50"/>
  <c r="AJ50" i="50"/>
  <c r="AM14" i="50"/>
  <c r="AN14" i="50"/>
  <c r="AL14" i="50"/>
  <c r="AK14" i="50"/>
  <c r="AJ14" i="50"/>
  <c r="AM28" i="46"/>
  <c r="AN28" i="46"/>
  <c r="AJ28" i="46"/>
  <c r="AL28" i="46"/>
  <c r="AK28" i="46"/>
  <c r="AJ56" i="53"/>
  <c r="AN56" i="53"/>
  <c r="AL56" i="53"/>
  <c r="AK56" i="53"/>
  <c r="AM56" i="53"/>
  <c r="AJ38" i="44"/>
  <c r="AN38" i="44"/>
  <c r="AL38" i="44"/>
  <c r="AM38" i="44"/>
  <c r="AK38" i="44"/>
  <c r="AM96" i="51"/>
  <c r="AL96" i="51"/>
  <c r="AK96" i="51"/>
  <c r="AJ96" i="51"/>
  <c r="AN96" i="51"/>
  <c r="AN61" i="51"/>
  <c r="AJ61" i="51"/>
  <c r="AK61" i="51"/>
  <c r="AL61" i="51"/>
  <c r="AM61" i="51"/>
  <c r="M80" i="2"/>
  <c r="K80" i="2"/>
  <c r="AN78" i="34"/>
  <c r="AL78" i="34"/>
  <c r="AM78" i="34"/>
  <c r="AK78" i="34"/>
  <c r="AJ78" i="34"/>
  <c r="AK34" i="45"/>
  <c r="AN34" i="45"/>
  <c r="AL34" i="45"/>
  <c r="AM34" i="45"/>
  <c r="AJ34" i="45"/>
  <c r="AN78" i="45"/>
  <c r="AK78" i="45"/>
  <c r="AL78" i="45"/>
  <c r="AJ78" i="45"/>
  <c r="AM78" i="45"/>
  <c r="AK88" i="34"/>
  <c r="AL88" i="34"/>
  <c r="AM88" i="34"/>
  <c r="AJ88" i="34"/>
  <c r="AN88" i="34"/>
  <c r="AL43" i="44"/>
  <c r="AJ43" i="44"/>
  <c r="AM43" i="44"/>
  <c r="AN43" i="44"/>
  <c r="AK43" i="44"/>
  <c r="AK95" i="31"/>
  <c r="AL95" i="31"/>
  <c r="AJ95" i="31"/>
  <c r="AM95" i="31"/>
  <c r="AN95" i="31"/>
  <c r="AM73" i="45"/>
  <c r="AL73" i="45"/>
  <c r="AK73" i="45"/>
  <c r="AN73" i="45"/>
  <c r="AJ73" i="45"/>
  <c r="AN83" i="45"/>
  <c r="AJ83" i="45"/>
  <c r="AL83" i="45"/>
  <c r="AM83" i="45"/>
  <c r="AK83" i="45"/>
  <c r="AM92" i="45"/>
  <c r="AN92" i="45"/>
  <c r="AL92" i="45"/>
  <c r="AK92" i="45"/>
  <c r="AJ92" i="45"/>
  <c r="AM26" i="45"/>
  <c r="AN26" i="45"/>
  <c r="AK26" i="45"/>
  <c r="AJ26" i="45"/>
  <c r="AL26" i="45"/>
  <c r="AN32" i="45"/>
  <c r="AM32" i="45"/>
  <c r="AK32" i="45"/>
  <c r="AL32" i="45"/>
  <c r="AJ32" i="45"/>
  <c r="AK26" i="53"/>
  <c r="AM26" i="53"/>
  <c r="AN26" i="53"/>
  <c r="AJ26" i="53"/>
  <c r="AL26" i="53"/>
  <c r="AL56" i="52"/>
  <c r="AN56" i="52"/>
  <c r="AJ56" i="52"/>
  <c r="AK56" i="52"/>
  <c r="AM56" i="52"/>
  <c r="AJ107" i="47"/>
  <c r="AM107" i="47"/>
  <c r="AN107" i="47"/>
  <c r="AK107" i="47"/>
  <c r="AL107" i="47"/>
  <c r="AJ13" i="46"/>
  <c r="AK13" i="46"/>
  <c r="AL13" i="46"/>
  <c r="AM13" i="46"/>
  <c r="AN13" i="46"/>
  <c r="AM63" i="45"/>
  <c r="AL63" i="45"/>
  <c r="AN63" i="45"/>
  <c r="AK63" i="45"/>
  <c r="AJ63" i="45"/>
  <c r="AK28" i="53"/>
  <c r="AM28" i="53"/>
  <c r="AN28" i="53"/>
  <c r="AL28" i="53"/>
  <c r="AJ28" i="53"/>
  <c r="AM48" i="45"/>
  <c r="AL48" i="45"/>
  <c r="AK48" i="45"/>
  <c r="AJ48" i="45"/>
  <c r="AN48" i="45"/>
  <c r="AJ109" i="50"/>
  <c r="AN109" i="50"/>
  <c r="AM109" i="50"/>
  <c r="AL109" i="50"/>
  <c r="AK109" i="50"/>
  <c r="AN57" i="46"/>
  <c r="AL57" i="46"/>
  <c r="AJ57" i="46"/>
  <c r="AK57" i="46"/>
  <c r="AM57" i="46"/>
  <c r="AN22" i="47"/>
  <c r="AL22" i="47"/>
  <c r="AK22" i="47"/>
  <c r="AM22" i="47"/>
  <c r="AJ22" i="47"/>
  <c r="AL44" i="44"/>
  <c r="AM44" i="44"/>
  <c r="AK44" i="44"/>
  <c r="AN44" i="44"/>
  <c r="AJ44" i="44"/>
  <c r="AM80" i="31"/>
  <c r="AL80" i="31"/>
  <c r="AK80" i="31"/>
  <c r="AN80" i="31"/>
  <c r="AJ80" i="31"/>
  <c r="AK82" i="34"/>
  <c r="AJ82" i="34"/>
  <c r="AL82" i="34"/>
  <c r="AM82" i="34"/>
  <c r="AN82" i="34"/>
  <c r="AM45" i="50"/>
  <c r="AL45" i="50"/>
  <c r="AJ45" i="50"/>
  <c r="AK45" i="50"/>
  <c r="AN45" i="50"/>
  <c r="AJ53" i="49"/>
  <c r="AM53" i="49"/>
  <c r="AL53" i="49"/>
  <c r="AK53" i="49"/>
  <c r="AN53" i="49"/>
  <c r="AM33" i="50"/>
  <c r="AN33" i="50"/>
  <c r="AK33" i="50"/>
  <c r="AJ33" i="50"/>
  <c r="AL33" i="50"/>
  <c r="AM85" i="47"/>
  <c r="AJ85" i="47"/>
  <c r="AN85" i="47"/>
  <c r="AK85" i="47"/>
  <c r="AL85" i="47"/>
  <c r="AL29" i="44"/>
  <c r="AM29" i="44"/>
  <c r="AJ29" i="44"/>
  <c r="AK29" i="44"/>
  <c r="AN29" i="44"/>
  <c r="AK48" i="52"/>
  <c r="AJ48" i="52"/>
  <c r="AN48" i="52"/>
  <c r="AL48" i="52"/>
  <c r="AM48" i="52"/>
  <c r="AN82" i="50"/>
  <c r="AK82" i="50"/>
  <c r="AL82" i="50"/>
  <c r="AM82" i="50"/>
  <c r="AJ82" i="50"/>
  <c r="AK74" i="22"/>
  <c r="AN74" i="22"/>
  <c r="AL74" i="22"/>
  <c r="AM74" i="22"/>
  <c r="AJ74" i="22"/>
  <c r="AM78" i="44"/>
  <c r="AK78" i="44"/>
  <c r="AL78" i="44"/>
  <c r="AN78" i="44"/>
  <c r="AJ78" i="44"/>
  <c r="AN81" i="34"/>
  <c r="AK81" i="34"/>
  <c r="AL81" i="34"/>
  <c r="AJ81" i="34"/>
  <c r="AM81" i="34"/>
  <c r="AK49" i="47"/>
  <c r="AM49" i="47"/>
  <c r="AL49" i="47"/>
  <c r="AJ49" i="47"/>
  <c r="AN49" i="47"/>
  <c r="AJ51" i="51"/>
  <c r="AN51" i="51"/>
  <c r="AM51" i="51"/>
  <c r="AK51" i="51"/>
  <c r="AL51" i="51"/>
  <c r="AN64" i="22"/>
  <c r="AJ64" i="22"/>
  <c r="AK64" i="22"/>
  <c r="AM64" i="22"/>
  <c r="AL64" i="22"/>
  <c r="AL35" i="49"/>
  <c r="AN35" i="49"/>
  <c r="AK35" i="49"/>
  <c r="AM35" i="49"/>
  <c r="AJ35" i="49"/>
  <c r="AN73" i="34"/>
  <c r="AL73" i="34"/>
  <c r="AJ73" i="34"/>
  <c r="AM73" i="34"/>
  <c r="AK73" i="34"/>
  <c r="AK20" i="51"/>
  <c r="AM20" i="51"/>
  <c r="AN20" i="51"/>
  <c r="AL20" i="51"/>
  <c r="AJ20" i="51"/>
  <c r="M96" i="2"/>
  <c r="K96" i="2"/>
  <c r="AL72" i="32"/>
  <c r="AM72" i="32"/>
  <c r="AK72" i="32"/>
  <c r="AN72" i="32"/>
  <c r="AJ72" i="32"/>
  <c r="AJ50" i="47"/>
  <c r="AK50" i="47"/>
  <c r="AN50" i="47"/>
  <c r="AL50" i="47"/>
  <c r="AM50" i="47"/>
  <c r="AN14" i="46"/>
  <c r="AK14" i="46"/>
  <c r="AJ14" i="46"/>
  <c r="AM14" i="46"/>
  <c r="AL14" i="46"/>
  <c r="AK17" i="46"/>
  <c r="AL17" i="46"/>
  <c r="AJ17" i="46"/>
  <c r="AN17" i="46"/>
  <c r="AM17" i="46"/>
  <c r="AM86" i="34"/>
  <c r="AN86" i="34"/>
  <c r="AK86" i="34"/>
  <c r="AJ86" i="34"/>
  <c r="AL86" i="34"/>
  <c r="AN61" i="49"/>
  <c r="AK61" i="49"/>
  <c r="AM61" i="49"/>
  <c r="AJ61" i="49"/>
  <c r="AL61" i="49"/>
  <c r="AN40" i="44"/>
  <c r="AL40" i="44"/>
  <c r="AK40" i="44"/>
  <c r="AM40" i="44"/>
  <c r="AJ40" i="44"/>
  <c r="AK48" i="49"/>
  <c r="AM48" i="49"/>
  <c r="AJ48" i="49"/>
  <c r="AN48" i="49"/>
  <c r="AL48" i="49"/>
  <c r="AN30" i="53"/>
  <c r="AM30" i="53"/>
  <c r="AJ30" i="53"/>
  <c r="AK30" i="53"/>
  <c r="AL30" i="53"/>
  <c r="AL101" i="49"/>
  <c r="AJ101" i="49"/>
  <c r="AN101" i="49"/>
  <c r="AM101" i="49"/>
  <c r="AK101" i="49"/>
  <c r="AN18" i="50"/>
  <c r="AM18" i="50"/>
  <c r="AL18" i="50"/>
  <c r="AK18" i="50"/>
  <c r="AJ18" i="50"/>
  <c r="AM35" i="45"/>
  <c r="AL35" i="45"/>
  <c r="AJ35" i="45"/>
  <c r="AK35" i="45"/>
  <c r="AN35" i="45"/>
  <c r="AJ74" i="44"/>
  <c r="AL74" i="44"/>
  <c r="AM74" i="44"/>
  <c r="AK74" i="44"/>
  <c r="AN74" i="44"/>
  <c r="AK104" i="22"/>
  <c r="AN104" i="22"/>
  <c r="AM104" i="22"/>
  <c r="AL104" i="22"/>
  <c r="AJ104" i="22"/>
  <c r="AN67" i="50"/>
  <c r="AL67" i="50"/>
  <c r="AJ67" i="50"/>
  <c r="AK67" i="50"/>
  <c r="AM67" i="50"/>
  <c r="AJ92" i="52"/>
  <c r="AK92" i="52"/>
  <c r="AN92" i="52"/>
  <c r="AL92" i="52"/>
  <c r="AM92" i="52"/>
  <c r="AN79" i="47"/>
  <c r="AL79" i="47"/>
  <c r="AK79" i="47"/>
  <c r="AJ79" i="47"/>
  <c r="AM79" i="47"/>
  <c r="AJ42" i="53"/>
  <c r="AL42" i="53"/>
  <c r="AN42" i="53"/>
  <c r="AK42" i="53"/>
  <c r="AM42" i="53"/>
  <c r="AM13" i="50"/>
  <c r="AJ13" i="50"/>
  <c r="AN13" i="50"/>
  <c r="AK13" i="50"/>
  <c r="AL13" i="50"/>
  <c r="AL48" i="46"/>
  <c r="AN48" i="46"/>
  <c r="AK48" i="46"/>
  <c r="AJ48" i="46"/>
  <c r="AM48" i="46"/>
  <c r="AM70" i="50"/>
  <c r="AK70" i="50"/>
  <c r="AJ70" i="50"/>
  <c r="AN70" i="50"/>
  <c r="AL70" i="50"/>
  <c r="AN110" i="51"/>
  <c r="AM110" i="51"/>
  <c r="AJ110" i="51"/>
  <c r="AK110" i="51"/>
  <c r="AL110" i="51"/>
  <c r="AM12" i="48"/>
  <c r="AL12" i="48"/>
  <c r="AN12" i="48"/>
  <c r="AJ12" i="48"/>
  <c r="AK12" i="48"/>
  <c r="AL70" i="32"/>
  <c r="AJ70" i="32"/>
  <c r="AK70" i="32"/>
  <c r="AN70" i="32"/>
  <c r="AM70" i="32"/>
  <c r="AM67" i="34"/>
  <c r="AL67" i="34"/>
  <c r="AK67" i="34"/>
  <c r="AN67" i="34"/>
  <c r="AJ67" i="34"/>
  <c r="AN76" i="48"/>
  <c r="AL76" i="48"/>
  <c r="AK76" i="48"/>
  <c r="AM76" i="48"/>
  <c r="AJ76" i="48"/>
  <c r="AJ92" i="46"/>
  <c r="AM92" i="46"/>
  <c r="AL92" i="46"/>
  <c r="AN92" i="46"/>
  <c r="AK92" i="46"/>
  <c r="AM97" i="47"/>
  <c r="AL97" i="47"/>
  <c r="AJ97" i="47"/>
  <c r="AK97" i="47"/>
  <c r="AN97" i="47"/>
  <c r="AJ33" i="47"/>
  <c r="AN33" i="47"/>
  <c r="AL33" i="47"/>
  <c r="AK33" i="47"/>
  <c r="AM33" i="47"/>
  <c r="AJ104" i="47"/>
  <c r="AK104" i="47"/>
  <c r="AL104" i="47"/>
  <c r="AM104" i="47"/>
  <c r="AN104" i="47"/>
  <c r="AM57" i="47"/>
  <c r="AK57" i="47"/>
  <c r="AL57" i="47"/>
  <c r="AN57" i="47"/>
  <c r="AJ57" i="47"/>
  <c r="AK84" i="51"/>
  <c r="AM84" i="51"/>
  <c r="AJ84" i="51"/>
  <c r="AN84" i="51"/>
  <c r="AL84" i="51"/>
  <c r="AM17" i="53"/>
  <c r="AL17" i="53"/>
  <c r="AN17" i="53"/>
  <c r="AJ17" i="53"/>
  <c r="AK17" i="53"/>
  <c r="AN21" i="48"/>
  <c r="AL21" i="48"/>
  <c r="AK21" i="48"/>
  <c r="AM21" i="48"/>
  <c r="AJ21" i="48"/>
  <c r="AN79" i="44"/>
  <c r="AM79" i="44"/>
  <c r="AL79" i="44"/>
  <c r="AK79" i="44"/>
  <c r="AJ79" i="44"/>
  <c r="AL108" i="47"/>
  <c r="AM108" i="47"/>
  <c r="AN108" i="47"/>
  <c r="AK108" i="47"/>
  <c r="AJ108" i="47"/>
  <c r="AK75" i="34"/>
  <c r="AL75" i="34"/>
  <c r="AJ75" i="34"/>
  <c r="AN75" i="34"/>
  <c r="AM75" i="34"/>
  <c r="AM105" i="49"/>
  <c r="AL105" i="49"/>
  <c r="AJ105" i="49"/>
  <c r="AK105" i="49"/>
  <c r="AN105" i="49"/>
  <c r="AM75" i="33"/>
  <c r="AJ75" i="33"/>
  <c r="AK75" i="33"/>
  <c r="AL75" i="33"/>
  <c r="AN75" i="33"/>
  <c r="AJ93" i="33"/>
  <c r="AN93" i="33"/>
  <c r="AM93" i="33"/>
  <c r="AL93" i="33"/>
  <c r="AK93" i="33"/>
  <c r="AM100" i="33"/>
  <c r="AN100" i="33"/>
  <c r="AJ100" i="33"/>
  <c r="AK100" i="33"/>
  <c r="AL100" i="33"/>
  <c r="AJ73" i="51"/>
  <c r="AN73" i="51"/>
  <c r="AL73" i="51"/>
  <c r="AM73" i="51"/>
  <c r="AK73" i="51"/>
  <c r="AL21" i="49"/>
  <c r="AJ21" i="49"/>
  <c r="AM21" i="49"/>
  <c r="AK21" i="49"/>
  <c r="AN21" i="49"/>
  <c r="AK64" i="33"/>
  <c r="AM64" i="33"/>
  <c r="AN64" i="33"/>
  <c r="AJ64" i="33"/>
  <c r="AL64" i="33"/>
  <c r="AJ90" i="32"/>
  <c r="AM90" i="32"/>
  <c r="AL90" i="32"/>
  <c r="AN90" i="32"/>
  <c r="AK90" i="32"/>
  <c r="AJ29" i="48"/>
  <c r="AM29" i="48"/>
  <c r="AL29" i="48"/>
  <c r="AK29" i="48"/>
  <c r="AN29" i="48"/>
  <c r="AJ69" i="44"/>
  <c r="AM69" i="44"/>
  <c r="AN69" i="44"/>
  <c r="AL69" i="44"/>
  <c r="AK69" i="44"/>
  <c r="AN52" i="52"/>
  <c r="AL52" i="52"/>
  <c r="AK52" i="52"/>
  <c r="AM52" i="52"/>
  <c r="AJ52" i="52"/>
  <c r="AL54" i="48"/>
  <c r="AM54" i="48"/>
  <c r="AK54" i="48"/>
  <c r="AN54" i="48"/>
  <c r="AJ54" i="48"/>
  <c r="AN82" i="33"/>
  <c r="AJ82" i="33"/>
  <c r="AL82" i="33"/>
  <c r="AM82" i="33"/>
  <c r="AK82" i="33"/>
  <c r="AK109" i="34"/>
  <c r="AL109" i="34"/>
  <c r="AN109" i="34"/>
  <c r="AM109" i="34"/>
  <c r="AJ109" i="34"/>
  <c r="AK109" i="45"/>
  <c r="AN109" i="45"/>
  <c r="AJ109" i="45"/>
  <c r="AM109" i="45"/>
  <c r="AL109" i="45"/>
  <c r="K74" i="2"/>
  <c r="M74" i="2"/>
  <c r="AK88" i="50"/>
  <c r="AN88" i="50"/>
  <c r="AJ88" i="50"/>
  <c r="AM88" i="50"/>
  <c r="AL88" i="50"/>
  <c r="AJ105" i="33"/>
  <c r="AN105" i="33"/>
  <c r="AL105" i="33"/>
  <c r="AM105" i="33"/>
  <c r="AK105" i="33"/>
  <c r="AL70" i="45"/>
  <c r="AM70" i="45"/>
  <c r="AN70" i="45"/>
  <c r="AJ70" i="45"/>
  <c r="AK70" i="45"/>
  <c r="AN64" i="53"/>
  <c r="AJ64" i="53"/>
  <c r="AM64" i="53"/>
  <c r="AL64" i="53"/>
  <c r="AK64" i="53"/>
  <c r="AK83" i="31"/>
  <c r="AL83" i="31"/>
  <c r="AN83" i="31"/>
  <c r="AJ83" i="31"/>
  <c r="AM83" i="31"/>
  <c r="AL23" i="47"/>
  <c r="AN23" i="47"/>
  <c r="AM23" i="47"/>
  <c r="AJ23" i="47"/>
  <c r="AK23" i="47"/>
  <c r="AL93" i="51"/>
  <c r="AK93" i="51"/>
  <c r="AN93" i="51"/>
  <c r="AM93" i="51"/>
  <c r="AJ93" i="51"/>
  <c r="AJ65" i="46"/>
  <c r="AM65" i="46"/>
  <c r="AN65" i="46"/>
  <c r="AL65" i="46"/>
  <c r="AK65" i="46"/>
  <c r="AJ66" i="44"/>
  <c r="AL66" i="44"/>
  <c r="AN66" i="44"/>
  <c r="AK66" i="44"/>
  <c r="AM66" i="44"/>
  <c r="AK52" i="47"/>
  <c r="AM52" i="47"/>
  <c r="AJ52" i="47"/>
  <c r="AN52" i="47"/>
  <c r="AL52" i="47"/>
  <c r="AK103" i="53"/>
  <c r="AJ103" i="53"/>
  <c r="AM103" i="53"/>
  <c r="AL103" i="53"/>
  <c r="AN103" i="53"/>
  <c r="AN42" i="51"/>
  <c r="AJ42" i="51"/>
  <c r="AL42" i="51"/>
  <c r="AK42" i="51"/>
  <c r="AM42" i="51"/>
  <c r="AK106" i="49"/>
  <c r="AM106" i="49"/>
  <c r="AL106" i="49"/>
  <c r="AJ106" i="49"/>
  <c r="AN106" i="49"/>
  <c r="AK35" i="50"/>
  <c r="AL35" i="50"/>
  <c r="AN35" i="50"/>
  <c r="AM35" i="50"/>
  <c r="AJ35" i="50"/>
  <c r="AJ91" i="47"/>
  <c r="AN91" i="47"/>
  <c r="AL91" i="47"/>
  <c r="AK91" i="47"/>
  <c r="AM91" i="47"/>
  <c r="AL93" i="22"/>
  <c r="AM93" i="22"/>
  <c r="AK93" i="22"/>
  <c r="AJ93" i="22"/>
  <c r="AN93" i="22"/>
  <c r="AM108" i="50"/>
  <c r="AN108" i="50"/>
  <c r="AJ108" i="50"/>
  <c r="AK108" i="50"/>
  <c r="AL108" i="50"/>
  <c r="AL110" i="50"/>
  <c r="AM110" i="50"/>
  <c r="AN110" i="50"/>
  <c r="AJ110" i="50"/>
  <c r="AK110" i="50"/>
  <c r="AJ12" i="53"/>
  <c r="AL12" i="53"/>
  <c r="AM12" i="53"/>
  <c r="AN12" i="53"/>
  <c r="AK12" i="53"/>
  <c r="AN14" i="49"/>
  <c r="AJ14" i="49"/>
  <c r="AM14" i="49"/>
  <c r="AK14" i="49"/>
  <c r="AL14" i="49"/>
  <c r="AN32" i="47"/>
  <c r="AJ32" i="47"/>
  <c r="AK32" i="47"/>
  <c r="AM32" i="47"/>
  <c r="AL32" i="47"/>
  <c r="AM76" i="50"/>
  <c r="AL76" i="50"/>
  <c r="AK76" i="50"/>
  <c r="AN76" i="50"/>
  <c r="AJ76" i="50"/>
  <c r="AM107" i="50"/>
  <c r="AL107" i="50"/>
  <c r="AN107" i="50"/>
  <c r="AK107" i="50"/>
  <c r="AJ107" i="50"/>
  <c r="AN28" i="51"/>
  <c r="AJ28" i="51"/>
  <c r="AL28" i="51"/>
  <c r="AK28" i="51"/>
  <c r="AM28" i="51"/>
  <c r="AN75" i="47"/>
  <c r="AL75" i="47"/>
  <c r="AK75" i="47"/>
  <c r="AJ75" i="47"/>
  <c r="AM75" i="47"/>
  <c r="AL41" i="46"/>
  <c r="AJ41" i="46"/>
  <c r="AK41" i="46"/>
  <c r="AM41" i="46"/>
  <c r="AN41" i="46"/>
  <c r="AM64" i="45"/>
  <c r="AL64" i="45"/>
  <c r="AJ64" i="45"/>
  <c r="AN64" i="45"/>
  <c r="AK64" i="45"/>
  <c r="AN74" i="51"/>
  <c r="AM74" i="51"/>
  <c r="AJ74" i="51"/>
  <c r="AK74" i="51"/>
  <c r="AL74" i="51"/>
  <c r="AN89" i="32"/>
  <c r="AL89" i="32"/>
  <c r="AJ89" i="32"/>
  <c r="AK89" i="32"/>
  <c r="AM89" i="32"/>
  <c r="AN14" i="45"/>
  <c r="AK14" i="45"/>
  <c r="AM14" i="45"/>
  <c r="AJ14" i="45"/>
  <c r="AL14" i="45"/>
  <c r="AM106" i="48"/>
  <c r="AK106" i="48"/>
  <c r="AJ106" i="48"/>
  <c r="AN106" i="48"/>
  <c r="AL106" i="48"/>
  <c r="AL48" i="44"/>
  <c r="AM48" i="44"/>
  <c r="AJ48" i="44"/>
  <c r="AK48" i="44"/>
  <c r="AN48" i="44"/>
  <c r="AK66" i="33"/>
  <c r="AL66" i="33"/>
  <c r="AJ66" i="33"/>
  <c r="AM66" i="33"/>
  <c r="AN66" i="33"/>
  <c r="AN90" i="49"/>
  <c r="AK90" i="49"/>
  <c r="AL90" i="49"/>
  <c r="AJ90" i="49"/>
  <c r="AM90" i="49"/>
  <c r="AL75" i="45"/>
  <c r="AK75" i="45"/>
  <c r="AJ75" i="45"/>
  <c r="AM75" i="45"/>
  <c r="AN75" i="45"/>
  <c r="AM76" i="51"/>
  <c r="AL76" i="51"/>
  <c r="AJ76" i="51"/>
  <c r="AN76" i="51"/>
  <c r="AK76" i="51"/>
  <c r="AM77" i="52"/>
  <c r="AL77" i="52"/>
  <c r="AK77" i="52"/>
  <c r="AN77" i="52"/>
  <c r="AJ77" i="52"/>
  <c r="AN32" i="44"/>
  <c r="AL32" i="44"/>
  <c r="AM32" i="44"/>
  <c r="AJ32" i="44"/>
  <c r="AK32" i="44"/>
  <c r="AJ110" i="33"/>
  <c r="AN110" i="33"/>
  <c r="AK110" i="33"/>
  <c r="AL110" i="33"/>
  <c r="AM110" i="33"/>
  <c r="AJ101" i="33"/>
  <c r="AN101" i="33"/>
  <c r="AK101" i="33"/>
  <c r="AL101" i="33"/>
  <c r="AM101" i="33"/>
  <c r="AJ84" i="46"/>
  <c r="AN84" i="46"/>
  <c r="AK84" i="46"/>
  <c r="AM84" i="46"/>
  <c r="AL84" i="46"/>
  <c r="AM83" i="44"/>
  <c r="AN83" i="44"/>
  <c r="AJ83" i="44"/>
  <c r="AL83" i="44"/>
  <c r="AK83" i="44"/>
  <c r="AL82" i="53"/>
  <c r="AM82" i="53"/>
  <c r="AK82" i="53"/>
  <c r="AJ82" i="53"/>
  <c r="AN82" i="53"/>
  <c r="AL14" i="44"/>
  <c r="AN14" i="44"/>
  <c r="AJ14" i="44"/>
  <c r="AM14" i="44"/>
  <c r="AK14" i="44"/>
  <c r="AM101" i="52"/>
  <c r="AJ101" i="52"/>
  <c r="AN101" i="52"/>
  <c r="AL101" i="52"/>
  <c r="AK101" i="52"/>
  <c r="AN85" i="53"/>
  <c r="AL85" i="53"/>
  <c r="AJ85" i="53"/>
  <c r="AK85" i="53"/>
  <c r="AM85" i="53"/>
  <c r="AL103" i="45"/>
  <c r="AK103" i="45"/>
  <c r="AJ103" i="45"/>
  <c r="AN103" i="45"/>
  <c r="AM103" i="45"/>
  <c r="AJ83" i="53"/>
  <c r="AN83" i="53"/>
  <c r="AL83" i="53"/>
  <c r="AK83" i="53"/>
  <c r="AM83" i="53"/>
  <c r="K104" i="2"/>
  <c r="M104" i="2"/>
  <c r="AM82" i="49"/>
  <c r="AJ82" i="49"/>
  <c r="AN82" i="49"/>
  <c r="AL82" i="49"/>
  <c r="AK82" i="49"/>
  <c r="AL37" i="52"/>
  <c r="AK37" i="52"/>
  <c r="AN37" i="52"/>
  <c r="AM37" i="52"/>
  <c r="AJ37" i="52"/>
  <c r="AL24" i="50"/>
  <c r="AK24" i="50"/>
  <c r="AJ24" i="50"/>
  <c r="AM24" i="50"/>
  <c r="AN24" i="50"/>
  <c r="AM100" i="53"/>
  <c r="AN100" i="53"/>
  <c r="AJ100" i="53"/>
  <c r="AL100" i="53"/>
  <c r="AK100" i="53"/>
  <c r="AK18" i="51"/>
  <c r="AL18" i="51"/>
  <c r="AJ18" i="51"/>
  <c r="AN18" i="51"/>
  <c r="AM18" i="51"/>
  <c r="AN22" i="49"/>
  <c r="AK22" i="49"/>
  <c r="AL22" i="49"/>
  <c r="AM22" i="49"/>
  <c r="AJ22" i="49"/>
  <c r="AL89" i="47"/>
  <c r="AJ89" i="47"/>
  <c r="AK89" i="47"/>
  <c r="AN89" i="47"/>
  <c r="AM89" i="47"/>
  <c r="AL27" i="52"/>
  <c r="AJ27" i="52"/>
  <c r="AK27" i="52"/>
  <c r="AN27" i="52"/>
  <c r="AM27" i="52"/>
  <c r="AL34" i="47"/>
  <c r="AK34" i="47"/>
  <c r="AJ34" i="47"/>
  <c r="AM34" i="47"/>
  <c r="AN34" i="47"/>
  <c r="AN15" i="44"/>
  <c r="AK15" i="44"/>
  <c r="AL15" i="44"/>
  <c r="AM15" i="44"/>
  <c r="AJ15" i="44"/>
  <c r="AJ14" i="48"/>
  <c r="AM14" i="48"/>
  <c r="AK14" i="48"/>
  <c r="AN14" i="48"/>
  <c r="AL14" i="48"/>
  <c r="AN10" i="50"/>
  <c r="AK10" i="50"/>
  <c r="AM10" i="50"/>
  <c r="AL10" i="50"/>
  <c r="AJ10" i="50"/>
  <c r="AN73" i="46"/>
  <c r="AK73" i="46"/>
  <c r="AL73" i="46"/>
  <c r="AM73" i="46"/>
  <c r="AJ73" i="46"/>
  <c r="AK46" i="46"/>
  <c r="AM46" i="46"/>
  <c r="AN46" i="46"/>
  <c r="AJ46" i="46"/>
  <c r="AL46" i="46"/>
  <c r="AM58" i="52"/>
  <c r="AL58" i="52"/>
  <c r="AK58" i="52"/>
  <c r="AJ58" i="52"/>
  <c r="AN58" i="52"/>
  <c r="AN74" i="46"/>
  <c r="AL74" i="46"/>
  <c r="AJ74" i="46"/>
  <c r="AM74" i="46"/>
  <c r="AK74" i="46"/>
  <c r="AJ96" i="46"/>
  <c r="AL96" i="46"/>
  <c r="AK96" i="46"/>
  <c r="AM96" i="46"/>
  <c r="AN96" i="46"/>
  <c r="AJ54" i="44"/>
  <c r="AK54" i="44"/>
  <c r="AM54" i="44"/>
  <c r="AL54" i="44"/>
  <c r="AN54" i="44"/>
  <c r="AN90" i="46"/>
  <c r="AK90" i="46"/>
  <c r="AJ90" i="46"/>
  <c r="AL90" i="46"/>
  <c r="AM90" i="46"/>
  <c r="AL37" i="45"/>
  <c r="AM37" i="45"/>
  <c r="AJ37" i="45"/>
  <c r="AN37" i="45"/>
  <c r="AK37" i="45"/>
  <c r="AJ86" i="22"/>
  <c r="AN86" i="22"/>
  <c r="AL86" i="22"/>
  <c r="AM86" i="22"/>
  <c r="AK86" i="22"/>
  <c r="AN102" i="31"/>
  <c r="AJ102" i="31"/>
  <c r="AL102" i="31"/>
  <c r="AM102" i="31"/>
  <c r="AK102" i="31"/>
  <c r="AN93" i="34"/>
  <c r="AK93" i="34"/>
  <c r="AL93" i="34"/>
  <c r="AM93" i="34"/>
  <c r="AJ93" i="34"/>
  <c r="AN105" i="31"/>
  <c r="AL105" i="31"/>
  <c r="AK105" i="31"/>
  <c r="AJ105" i="31"/>
  <c r="AM105" i="31"/>
  <c r="AL14" i="47"/>
  <c r="AM14" i="47"/>
  <c r="AJ14" i="47"/>
  <c r="AN14" i="47"/>
  <c r="AK14" i="47"/>
  <c r="AL52" i="53"/>
  <c r="AK52" i="53"/>
  <c r="AM52" i="53"/>
  <c r="AJ52" i="53"/>
  <c r="AN52" i="53"/>
  <c r="AK17" i="52"/>
  <c r="AN17" i="52"/>
  <c r="AJ17" i="52"/>
  <c r="AM17" i="52"/>
  <c r="AL17" i="52"/>
  <c r="AN29" i="49"/>
  <c r="AK29" i="49"/>
  <c r="AJ29" i="49"/>
  <c r="AL29" i="49"/>
  <c r="AM29" i="49"/>
  <c r="AK82" i="31"/>
  <c r="AN82" i="31"/>
  <c r="AL82" i="31"/>
  <c r="AM82" i="31"/>
  <c r="AJ82" i="31"/>
  <c r="AL39" i="48"/>
  <c r="AJ39" i="48"/>
  <c r="AK39" i="48"/>
  <c r="AM39" i="48"/>
  <c r="AN39" i="48"/>
  <c r="AJ72" i="52"/>
  <c r="AL72" i="52"/>
  <c r="AN72" i="52"/>
  <c r="AM72" i="52"/>
  <c r="AK72" i="52"/>
  <c r="AM110" i="53"/>
  <c r="AJ110" i="53"/>
  <c r="AN110" i="53"/>
  <c r="AK110" i="53"/>
  <c r="AL110" i="53"/>
  <c r="AL24" i="49"/>
  <c r="AJ24" i="49"/>
  <c r="AM24" i="49"/>
  <c r="AN24" i="49"/>
  <c r="AK24" i="49"/>
  <c r="AN77" i="49"/>
  <c r="AL77" i="49"/>
  <c r="AJ77" i="49"/>
  <c r="AK77" i="49"/>
  <c r="AM77" i="49"/>
  <c r="AM45" i="48"/>
  <c r="AL45" i="48"/>
  <c r="AK45" i="48"/>
  <c r="AJ45" i="48"/>
  <c r="AN45" i="48"/>
  <c r="AM92" i="31"/>
  <c r="AL92" i="31"/>
  <c r="AN92" i="31"/>
  <c r="AJ92" i="31"/>
  <c r="AK92" i="31"/>
  <c r="AJ98" i="52"/>
  <c r="AK98" i="52"/>
  <c r="AN98" i="52"/>
  <c r="AL98" i="52"/>
  <c r="AM98" i="52"/>
  <c r="AK55" i="47"/>
  <c r="AJ55" i="47"/>
  <c r="AM55" i="47"/>
  <c r="AN55" i="47"/>
  <c r="AL55" i="47"/>
  <c r="AJ99" i="33"/>
  <c r="AL99" i="33"/>
  <c r="AK99" i="33"/>
  <c r="AM99" i="33"/>
  <c r="AN99" i="33"/>
  <c r="AL85" i="22"/>
  <c r="AM85" i="22"/>
  <c r="AN85" i="22"/>
  <c r="AJ85" i="22"/>
  <c r="AK85" i="22"/>
  <c r="AN75" i="53"/>
  <c r="AM75" i="53"/>
  <c r="AK75" i="53"/>
  <c r="AL75" i="53"/>
  <c r="AJ75" i="53"/>
  <c r="AL59" i="49"/>
  <c r="AM59" i="49"/>
  <c r="AN59" i="49"/>
  <c r="AJ59" i="49"/>
  <c r="AK59" i="49"/>
  <c r="AJ36" i="49"/>
  <c r="AK36" i="49"/>
  <c r="AN36" i="49"/>
  <c r="AL36" i="49"/>
  <c r="AM36" i="49"/>
  <c r="AK57" i="52"/>
  <c r="AL57" i="52"/>
  <c r="AM57" i="52"/>
  <c r="AN57" i="52"/>
  <c r="AJ57" i="52"/>
  <c r="AL87" i="48"/>
  <c r="AM87" i="48"/>
  <c r="AN87" i="48"/>
  <c r="AK87" i="48"/>
  <c r="AJ87" i="48"/>
  <c r="AN105" i="46"/>
  <c r="AL105" i="46"/>
  <c r="AM105" i="46"/>
  <c r="AJ105" i="46"/>
  <c r="AK105" i="46"/>
  <c r="AJ62" i="46"/>
  <c r="AK62" i="46"/>
  <c r="AL62" i="46"/>
  <c r="AN62" i="46"/>
  <c r="AM62" i="46"/>
  <c r="AL25" i="52"/>
  <c r="AK25" i="52"/>
  <c r="AN25" i="52"/>
  <c r="AM25" i="52"/>
  <c r="AJ25" i="52"/>
  <c r="AK47" i="51"/>
  <c r="AM47" i="51"/>
  <c r="AL47" i="51"/>
  <c r="AJ47" i="51"/>
  <c r="AN47" i="51"/>
  <c r="AN79" i="52"/>
  <c r="AL79" i="52"/>
  <c r="AK79" i="52"/>
  <c r="AJ79" i="52"/>
  <c r="AM79" i="52"/>
  <c r="AL40" i="46"/>
  <c r="AJ40" i="46"/>
  <c r="AK40" i="46"/>
  <c r="AM40" i="46"/>
  <c r="AN40" i="46"/>
  <c r="AN72" i="46"/>
  <c r="AK72" i="46"/>
  <c r="AM72" i="46"/>
  <c r="AL72" i="46"/>
  <c r="AJ72" i="46"/>
  <c r="K67" i="2"/>
  <c r="M67" i="2"/>
  <c r="AJ55" i="45"/>
  <c r="AL55" i="45"/>
  <c r="AM55" i="45"/>
  <c r="AN55" i="45"/>
  <c r="AK55" i="45"/>
  <c r="AM47" i="53"/>
  <c r="AL47" i="53"/>
  <c r="AJ47" i="53"/>
  <c r="AK47" i="53"/>
  <c r="AN47" i="53"/>
  <c r="AM69" i="48"/>
  <c r="AJ69" i="48"/>
  <c r="AN69" i="48"/>
  <c r="AL69" i="48"/>
  <c r="AK69" i="48"/>
  <c r="AN102" i="22"/>
  <c r="AJ102" i="22"/>
  <c r="AM102" i="22"/>
  <c r="AK102" i="22"/>
  <c r="AL102" i="22"/>
  <c r="AJ41" i="45"/>
  <c r="AM41" i="45"/>
  <c r="AN41" i="45"/>
  <c r="AK41" i="45"/>
  <c r="AL41" i="45"/>
  <c r="AJ58" i="47"/>
  <c r="AN58" i="47"/>
  <c r="AL58" i="47"/>
  <c r="AM58" i="47"/>
  <c r="AK58" i="47"/>
  <c r="AN88" i="31"/>
  <c r="AK88" i="31"/>
  <c r="AM88" i="31"/>
  <c r="AL88" i="31"/>
  <c r="AJ88" i="31"/>
  <c r="M100" i="2"/>
  <c r="K100" i="2"/>
  <c r="AJ81" i="53"/>
  <c r="AN81" i="53"/>
  <c r="AM81" i="53"/>
  <c r="AL81" i="53"/>
  <c r="AK81" i="53"/>
  <c r="AL97" i="49"/>
  <c r="AN97" i="49"/>
  <c r="AK97" i="49"/>
  <c r="AM97" i="49"/>
  <c r="AJ97" i="49"/>
  <c r="AL11" i="48"/>
  <c r="AJ11" i="48"/>
  <c r="AN11" i="48"/>
  <c r="AM11" i="48"/>
  <c r="AK11" i="48"/>
  <c r="K77" i="2"/>
  <c r="M77" i="2"/>
  <c r="AK78" i="48"/>
  <c r="AM78" i="48"/>
  <c r="AN78" i="48"/>
  <c r="AJ78" i="48"/>
  <c r="AL78" i="48"/>
  <c r="AM48" i="48"/>
  <c r="AL48" i="48"/>
  <c r="AK48" i="48"/>
  <c r="AJ48" i="48"/>
  <c r="AN48" i="48"/>
  <c r="AL12" i="47"/>
  <c r="AK12" i="47"/>
  <c r="AM12" i="47"/>
  <c r="AN12" i="47"/>
  <c r="AJ12" i="47"/>
  <c r="AM84" i="50"/>
  <c r="AL84" i="50"/>
  <c r="AN84" i="50"/>
  <c r="AJ84" i="50"/>
  <c r="AK84" i="50"/>
  <c r="AK93" i="47"/>
  <c r="AN93" i="47"/>
  <c r="AM93" i="47"/>
  <c r="AJ93" i="47"/>
  <c r="AL93" i="47"/>
  <c r="AK40" i="45"/>
  <c r="AJ40" i="45"/>
  <c r="AM40" i="45"/>
  <c r="AL40" i="45"/>
  <c r="AN40" i="45"/>
  <c r="AK88" i="51"/>
  <c r="AJ88" i="51"/>
  <c r="AM88" i="51"/>
  <c r="AL88" i="51"/>
  <c r="AN88" i="51"/>
  <c r="AM38" i="46"/>
  <c r="AJ38" i="46"/>
  <c r="AK38" i="46"/>
  <c r="AN38" i="46"/>
  <c r="AL38" i="46"/>
  <c r="M62" i="2"/>
  <c r="K62" i="2"/>
  <c r="AN30" i="48"/>
  <c r="AM30" i="48"/>
  <c r="AK30" i="48"/>
  <c r="AL30" i="48"/>
  <c r="AJ30" i="48"/>
  <c r="AM49" i="53"/>
  <c r="AN49" i="53"/>
  <c r="AL49" i="53"/>
  <c r="AJ49" i="53"/>
  <c r="AK49" i="53"/>
  <c r="AJ50" i="49"/>
  <c r="AN50" i="49"/>
  <c r="AK50" i="49"/>
  <c r="AM50" i="49"/>
  <c r="AL50" i="49"/>
  <c r="AJ64" i="47"/>
  <c r="AK64" i="47"/>
  <c r="AL64" i="47"/>
  <c r="AN64" i="47"/>
  <c r="AM64" i="47"/>
  <c r="K75" i="2"/>
  <c r="M75" i="2"/>
  <c r="AM95" i="48"/>
  <c r="AN95" i="48"/>
  <c r="AL95" i="48"/>
  <c r="AJ95" i="48"/>
  <c r="AK95" i="48"/>
  <c r="AJ80" i="47"/>
  <c r="AM80" i="47"/>
  <c r="AK80" i="47"/>
  <c r="AL80" i="47"/>
  <c r="AN80" i="47"/>
  <c r="AJ11" i="53"/>
  <c r="AM11" i="53"/>
  <c r="AL11" i="53"/>
  <c r="AK11" i="53"/>
  <c r="AN11" i="53"/>
  <c r="AJ66" i="22"/>
  <c r="AM66" i="22"/>
  <c r="AK66" i="22"/>
  <c r="AN66" i="22"/>
  <c r="AL66" i="22"/>
  <c r="AK19" i="47"/>
  <c r="AL19" i="47"/>
  <c r="AM19" i="47"/>
  <c r="AJ19" i="47"/>
  <c r="AN19" i="47"/>
  <c r="AL103" i="33"/>
  <c r="AN103" i="33"/>
  <c r="AK103" i="33"/>
  <c r="AJ103" i="33"/>
  <c r="AM103" i="33"/>
  <c r="AN100" i="22"/>
  <c r="AJ100" i="22"/>
  <c r="AK100" i="22"/>
  <c r="AL100" i="22"/>
  <c r="AM100" i="22"/>
  <c r="AK71" i="34"/>
  <c r="AJ71" i="34"/>
  <c r="AM71" i="34"/>
  <c r="AL71" i="34"/>
  <c r="AN71" i="34"/>
  <c r="AK47" i="44"/>
  <c r="AL47" i="44"/>
  <c r="AM47" i="44"/>
  <c r="AN47" i="44"/>
  <c r="AJ47" i="44"/>
  <c r="AL94" i="50"/>
  <c r="AM94" i="50"/>
  <c r="AN94" i="50"/>
  <c r="AK94" i="50"/>
  <c r="AJ94" i="50"/>
  <c r="AM11" i="51"/>
  <c r="AK11" i="51"/>
  <c r="AJ11" i="51"/>
  <c r="AN11" i="51"/>
  <c r="AL11" i="51"/>
  <c r="AJ72" i="49"/>
  <c r="AN72" i="49"/>
  <c r="AL72" i="49"/>
  <c r="AM72" i="49"/>
  <c r="AK72" i="49"/>
  <c r="AM74" i="34"/>
  <c r="AN74" i="34"/>
  <c r="AK74" i="34"/>
  <c r="AJ74" i="34"/>
  <c r="AL74" i="34"/>
  <c r="AM102" i="44"/>
  <c r="AL102" i="44"/>
  <c r="AN102" i="44"/>
  <c r="AJ102" i="44"/>
  <c r="AK102" i="44"/>
  <c r="AM43" i="47"/>
  <c r="AL43" i="47"/>
  <c r="AJ43" i="47"/>
  <c r="AN43" i="47"/>
  <c r="AK43" i="47"/>
  <c r="AM24" i="47"/>
  <c r="AL24" i="47"/>
  <c r="AN24" i="47"/>
  <c r="AJ24" i="47"/>
  <c r="AK24" i="47"/>
  <c r="AL64" i="51"/>
  <c r="AM64" i="51"/>
  <c r="AK64" i="51"/>
  <c r="AJ64" i="51"/>
  <c r="AN64" i="51"/>
  <c r="AM68" i="50"/>
  <c r="AL68" i="50"/>
  <c r="AN68" i="50"/>
  <c r="AK68" i="50"/>
  <c r="AJ68" i="50"/>
  <c r="AJ106" i="31"/>
  <c r="AM106" i="31"/>
  <c r="AN106" i="31"/>
  <c r="AK106" i="31"/>
  <c r="AL106" i="31"/>
  <c r="AK74" i="48"/>
  <c r="AL74" i="48"/>
  <c r="AM74" i="48"/>
  <c r="AJ74" i="48"/>
  <c r="AN74" i="48"/>
  <c r="AM12" i="45"/>
  <c r="AN12" i="45"/>
  <c r="AK12" i="45"/>
  <c r="AL12" i="45"/>
  <c r="AJ12" i="45"/>
  <c r="AK15" i="49"/>
  <c r="AL15" i="49"/>
  <c r="AN15" i="49"/>
  <c r="AM15" i="49"/>
  <c r="AJ15" i="49"/>
  <c r="AM14" i="52"/>
  <c r="AN14" i="52"/>
  <c r="AJ14" i="52"/>
  <c r="AL14" i="52"/>
  <c r="AK14" i="52"/>
  <c r="AN21" i="46"/>
  <c r="AK21" i="46"/>
  <c r="AL21" i="46"/>
  <c r="AM21" i="46"/>
  <c r="AJ21" i="46"/>
  <c r="AN34" i="52"/>
  <c r="AK34" i="52"/>
  <c r="AL34" i="52"/>
  <c r="AM34" i="52"/>
  <c r="AJ34" i="52"/>
  <c r="AM14" i="53"/>
  <c r="AL14" i="53"/>
  <c r="AN14" i="53"/>
  <c r="AK14" i="53"/>
  <c r="AJ14" i="53"/>
  <c r="AN68" i="53"/>
  <c r="AK68" i="53"/>
  <c r="AJ68" i="53"/>
  <c r="AM68" i="53"/>
  <c r="AL68" i="53"/>
  <c r="K87" i="2"/>
  <c r="M87" i="2"/>
  <c r="AN65" i="45"/>
  <c r="AK65" i="45"/>
  <c r="AM65" i="45"/>
  <c r="AL65" i="45"/>
  <c r="AJ65" i="45"/>
  <c r="AN104" i="53"/>
  <c r="AJ104" i="53"/>
  <c r="AL104" i="53"/>
  <c r="AM104" i="53"/>
  <c r="AK104" i="53"/>
  <c r="AK17" i="45"/>
  <c r="AM17" i="45"/>
  <c r="AN17" i="45"/>
  <c r="AJ17" i="45"/>
  <c r="AL17" i="45"/>
  <c r="AJ99" i="46"/>
  <c r="AL99" i="46"/>
  <c r="AK99" i="46"/>
  <c r="AM99" i="46"/>
  <c r="AN99" i="46"/>
  <c r="AL69" i="22"/>
  <c r="AM69" i="22"/>
  <c r="AJ69" i="22"/>
  <c r="AN69" i="22"/>
  <c r="AK69" i="22"/>
  <c r="AL88" i="44"/>
  <c r="AM88" i="44"/>
  <c r="AN88" i="44"/>
  <c r="AK88" i="44"/>
  <c r="AJ88" i="44"/>
  <c r="AM27" i="46"/>
  <c r="AK27" i="46"/>
  <c r="AN27" i="46"/>
  <c r="AJ27" i="46"/>
  <c r="AL27" i="46"/>
  <c r="AN74" i="31"/>
  <c r="AK74" i="31"/>
  <c r="AL74" i="31"/>
  <c r="AM74" i="31"/>
  <c r="AJ74" i="31"/>
  <c r="AN86" i="45"/>
  <c r="AK86" i="45"/>
  <c r="AM86" i="45"/>
  <c r="AL86" i="45"/>
  <c r="AJ86" i="45"/>
  <c r="AN13" i="52"/>
  <c r="AM13" i="52"/>
  <c r="AK13" i="52"/>
  <c r="AL13" i="52"/>
  <c r="AJ13" i="52"/>
  <c r="AN92" i="48"/>
  <c r="AJ92" i="48"/>
  <c r="AM92" i="48"/>
  <c r="AL92" i="48"/>
  <c r="AK92" i="48"/>
  <c r="AM51" i="44"/>
  <c r="AJ51" i="44"/>
  <c r="AL51" i="44"/>
  <c r="AN51" i="44"/>
  <c r="AK51" i="44"/>
  <c r="AN87" i="45"/>
  <c r="AL87" i="45"/>
  <c r="AJ87" i="45"/>
  <c r="AK87" i="45"/>
  <c r="AM87" i="45"/>
  <c r="AK84" i="52"/>
  <c r="AM84" i="52"/>
  <c r="AN84" i="52"/>
  <c r="AJ84" i="52"/>
  <c r="AL84" i="52"/>
  <c r="AM106" i="50"/>
  <c r="AN106" i="50"/>
  <c r="AK106" i="50"/>
  <c r="AJ106" i="50"/>
  <c r="AL106" i="50"/>
  <c r="AL85" i="31"/>
  <c r="AJ85" i="31"/>
  <c r="AK85" i="31"/>
  <c r="AN85" i="31"/>
  <c r="AM85" i="31"/>
  <c r="K91" i="2"/>
  <c r="M91" i="2"/>
  <c r="AM76" i="49"/>
  <c r="AN76" i="49"/>
  <c r="AL76" i="49"/>
  <c r="AK76" i="49"/>
  <c r="AJ76" i="49"/>
  <c r="AM21" i="47"/>
  <c r="AJ21" i="47"/>
  <c r="AN21" i="47"/>
  <c r="AK21" i="47"/>
  <c r="AL21" i="47"/>
  <c r="AL37" i="48"/>
  <c r="AM37" i="48"/>
  <c r="AK37" i="48"/>
  <c r="AJ37" i="48"/>
  <c r="AN37" i="48"/>
  <c r="AL20" i="46"/>
  <c r="AJ20" i="46"/>
  <c r="AN20" i="46"/>
  <c r="AM20" i="46"/>
  <c r="AK20" i="46"/>
  <c r="AL10" i="53"/>
  <c r="AM10" i="53"/>
  <c r="AN10" i="53"/>
  <c r="AK10" i="53"/>
  <c r="AJ10" i="53"/>
  <c r="AN15" i="53"/>
  <c r="AM15" i="53"/>
  <c r="AK15" i="53"/>
  <c r="AJ15" i="53"/>
  <c r="AL15" i="53"/>
  <c r="AN28" i="50"/>
  <c r="AJ28" i="50"/>
  <c r="AL28" i="50"/>
  <c r="AK28" i="50"/>
  <c r="AM28" i="50"/>
  <c r="AN39" i="53"/>
  <c r="AL39" i="53"/>
  <c r="AK39" i="53"/>
  <c r="AJ39" i="53"/>
  <c r="AM39" i="53"/>
  <c r="AK90" i="33"/>
  <c r="AM90" i="33"/>
  <c r="AL90" i="33"/>
  <c r="AN90" i="33"/>
  <c r="AJ90" i="33"/>
  <c r="AM50" i="45"/>
  <c r="AN50" i="45"/>
  <c r="AK50" i="45"/>
  <c r="AL50" i="45"/>
  <c r="AJ50" i="45"/>
  <c r="AM64" i="49"/>
  <c r="AL64" i="49"/>
  <c r="AK64" i="49"/>
  <c r="AJ64" i="49"/>
  <c r="AN64" i="49"/>
  <c r="AJ10" i="49"/>
  <c r="AM10" i="49"/>
  <c r="AN10" i="49"/>
  <c r="AK10" i="49"/>
  <c r="AL10" i="49"/>
  <c r="AM89" i="49"/>
  <c r="AL89" i="49"/>
  <c r="AJ89" i="49"/>
  <c r="AK89" i="49"/>
  <c r="AN89" i="49"/>
  <c r="AM86" i="53"/>
  <c r="AN86" i="53"/>
  <c r="AK86" i="53"/>
  <c r="AJ86" i="53"/>
  <c r="AL86" i="53"/>
  <c r="AK62" i="51"/>
  <c r="AJ62" i="51"/>
  <c r="AL62" i="51"/>
  <c r="AN62" i="51"/>
  <c r="AM62" i="51"/>
  <c r="AJ91" i="48"/>
  <c r="AK91" i="48"/>
  <c r="AN91" i="48"/>
  <c r="AM91" i="48"/>
  <c r="AL91" i="48"/>
  <c r="AN60" i="44"/>
  <c r="AL60" i="44"/>
  <c r="AM60" i="44"/>
  <c r="AJ60" i="44"/>
  <c r="AK60" i="44"/>
  <c r="AM11" i="45"/>
  <c r="AJ11" i="45"/>
  <c r="AK11" i="45"/>
  <c r="AN11" i="45"/>
  <c r="AL11" i="45"/>
  <c r="AM87" i="31"/>
  <c r="AK87" i="31"/>
  <c r="AL87" i="31"/>
  <c r="AN87" i="31"/>
  <c r="AJ87" i="31"/>
  <c r="AN33" i="48"/>
  <c r="AM33" i="48"/>
  <c r="AL33" i="48"/>
  <c r="AJ33" i="48"/>
  <c r="AK33" i="48"/>
  <c r="M90" i="2"/>
  <c r="K90" i="2"/>
  <c r="AL54" i="47"/>
  <c r="AM54" i="47"/>
  <c r="AN54" i="47"/>
  <c r="AK54" i="47"/>
  <c r="AJ54" i="47"/>
  <c r="AM83" i="34"/>
  <c r="AJ83" i="34"/>
  <c r="AK83" i="34"/>
  <c r="AL83" i="34"/>
  <c r="AN83" i="34"/>
  <c r="AK98" i="45"/>
  <c r="AJ98" i="45"/>
  <c r="AL98" i="45"/>
  <c r="AM98" i="45"/>
  <c r="AN98" i="45"/>
  <c r="AK53" i="44"/>
  <c r="AM53" i="44"/>
  <c r="AL53" i="44"/>
  <c r="AJ53" i="44"/>
  <c r="AN53" i="44"/>
  <c r="AK94" i="45"/>
  <c r="AJ94" i="45"/>
  <c r="AL94" i="45"/>
  <c r="AM94" i="45"/>
  <c r="AN94" i="45"/>
  <c r="AM64" i="32"/>
  <c r="AL64" i="32"/>
  <c r="AN64" i="32"/>
  <c r="AJ64" i="32"/>
  <c r="AK64" i="32"/>
  <c r="AN19" i="52"/>
  <c r="AM19" i="52"/>
  <c r="AJ19" i="52"/>
  <c r="AK19" i="52"/>
  <c r="AL19" i="52"/>
  <c r="AM99" i="45"/>
  <c r="AK99" i="45"/>
  <c r="AJ99" i="45"/>
  <c r="AN99" i="45"/>
  <c r="AL99" i="45"/>
  <c r="AL75" i="22"/>
  <c r="AM75" i="22"/>
  <c r="AN75" i="22"/>
  <c r="AJ75" i="22"/>
  <c r="AK75" i="22"/>
  <c r="AM71" i="44"/>
  <c r="AN71" i="44"/>
  <c r="AJ71" i="44"/>
  <c r="AK71" i="44"/>
  <c r="AL71" i="44"/>
  <c r="AJ57" i="45"/>
  <c r="AM57" i="45"/>
  <c r="AK57" i="45"/>
  <c r="AL57" i="45"/>
  <c r="AN57" i="45"/>
  <c r="AJ75" i="49"/>
  <c r="AK75" i="49"/>
  <c r="AL75" i="49"/>
  <c r="AM75" i="49"/>
  <c r="AN75" i="49"/>
  <c r="AJ39" i="52"/>
  <c r="AL39" i="52"/>
  <c r="AK39" i="52"/>
  <c r="AN39" i="52"/>
  <c r="AM39" i="52"/>
  <c r="AK16" i="52"/>
  <c r="AJ16" i="52"/>
  <c r="AN16" i="52"/>
  <c r="AM16" i="52"/>
  <c r="AL16" i="52"/>
  <c r="AM102" i="46"/>
  <c r="AK102" i="46"/>
  <c r="AL102" i="46"/>
  <c r="AN102" i="46"/>
  <c r="AJ102" i="46"/>
  <c r="AL23" i="52"/>
  <c r="AK23" i="52"/>
  <c r="AJ23" i="52"/>
  <c r="AN23" i="52"/>
  <c r="AM23" i="52"/>
  <c r="AL10" i="52"/>
  <c r="AK10" i="52"/>
  <c r="AJ10" i="52"/>
  <c r="AN10" i="52"/>
  <c r="AM10" i="52"/>
  <c r="AM105" i="51"/>
  <c r="AL105" i="51"/>
  <c r="AK105" i="51"/>
  <c r="AN105" i="51"/>
  <c r="AJ105" i="51"/>
  <c r="AN38" i="49"/>
  <c r="AL38" i="49"/>
  <c r="AK38" i="49"/>
  <c r="AM38" i="49"/>
  <c r="AJ38" i="49"/>
  <c r="AK100" i="31"/>
  <c r="AN100" i="31"/>
  <c r="AJ100" i="31"/>
  <c r="AM100" i="31"/>
  <c r="AL100" i="31"/>
  <c r="AK57" i="51"/>
  <c r="AM57" i="51"/>
  <c r="AN57" i="51"/>
  <c r="AJ57" i="51"/>
  <c r="AL57" i="51"/>
  <c r="AJ26" i="52"/>
  <c r="AN26" i="52"/>
  <c r="AK26" i="52"/>
  <c r="AL26" i="52"/>
  <c r="AM26" i="52"/>
  <c r="AL53" i="46"/>
  <c r="AN53" i="46"/>
  <c r="AM53" i="46"/>
  <c r="AK53" i="46"/>
  <c r="AJ53" i="46"/>
  <c r="AL90" i="53"/>
  <c r="AK90" i="53"/>
  <c r="AJ90" i="53"/>
  <c r="AM90" i="53"/>
  <c r="AN90" i="53"/>
  <c r="AK46" i="49"/>
  <c r="AM46" i="49"/>
  <c r="AL46" i="49"/>
  <c r="AN46" i="49"/>
  <c r="AJ46" i="49"/>
  <c r="AK50" i="46"/>
  <c r="AJ50" i="46"/>
  <c r="AN50" i="46"/>
  <c r="AL50" i="46"/>
  <c r="AM50" i="46"/>
  <c r="AN107" i="34"/>
  <c r="AK107" i="34"/>
  <c r="AL107" i="34"/>
  <c r="AM107" i="34"/>
  <c r="AJ107" i="34"/>
  <c r="AJ82" i="48"/>
  <c r="AL82" i="48"/>
  <c r="AM82" i="48"/>
  <c r="AN82" i="48"/>
  <c r="AK82" i="48"/>
  <c r="AK15" i="48"/>
  <c r="AM15" i="48"/>
  <c r="AJ15" i="48"/>
  <c r="AN15" i="48"/>
  <c r="AL15" i="48"/>
  <c r="AL60" i="48"/>
  <c r="AJ60" i="48"/>
  <c r="AM60" i="48"/>
  <c r="AN60" i="48"/>
  <c r="AK60" i="48"/>
  <c r="AN67" i="44"/>
  <c r="AJ67" i="44"/>
  <c r="AK67" i="44"/>
  <c r="AM67" i="44"/>
  <c r="AL67" i="44"/>
  <c r="AM100" i="45"/>
  <c r="AK100" i="45"/>
  <c r="AJ100" i="45"/>
  <c r="AL100" i="45"/>
  <c r="AN100" i="45"/>
  <c r="AN87" i="51"/>
  <c r="AK87" i="51"/>
  <c r="AL87" i="51"/>
  <c r="AM87" i="51"/>
  <c r="AJ87" i="51"/>
  <c r="AL81" i="49"/>
  <c r="AN81" i="49"/>
  <c r="AJ81" i="49"/>
  <c r="AK81" i="49"/>
  <c r="AM81" i="49"/>
  <c r="AN99" i="47"/>
  <c r="AL99" i="47"/>
  <c r="AK99" i="47"/>
  <c r="AM99" i="47"/>
  <c r="AJ99" i="47"/>
  <c r="AJ110" i="31"/>
  <c r="AM110" i="31"/>
  <c r="AL110" i="31"/>
  <c r="AK110" i="31"/>
  <c r="AN110" i="31"/>
  <c r="AL67" i="32"/>
  <c r="AM67" i="32"/>
  <c r="AK67" i="32"/>
  <c r="AJ67" i="32"/>
  <c r="AN67" i="32"/>
  <c r="AJ40" i="48"/>
  <c r="AK40" i="48"/>
  <c r="AL40" i="48"/>
  <c r="AM40" i="48"/>
  <c r="AN40" i="48"/>
  <c r="AM47" i="46"/>
  <c r="AJ47" i="46"/>
  <c r="AN47" i="46"/>
  <c r="AL47" i="46"/>
  <c r="AK47" i="46"/>
  <c r="AJ77" i="47"/>
  <c r="AK77" i="47"/>
  <c r="AN77" i="47"/>
  <c r="AM77" i="47"/>
  <c r="AL77" i="47"/>
  <c r="AN103" i="34"/>
  <c r="AK103" i="34"/>
  <c r="AL103" i="34"/>
  <c r="AM103" i="34"/>
  <c r="AJ103" i="34"/>
  <c r="AM31" i="46"/>
  <c r="AL31" i="46"/>
  <c r="AK31" i="46"/>
  <c r="AN31" i="46"/>
  <c r="AJ31" i="46"/>
  <c r="AN36" i="45"/>
  <c r="AK36" i="45"/>
  <c r="AJ36" i="45"/>
  <c r="AL36" i="45"/>
  <c r="AM36" i="45"/>
  <c r="AJ66" i="31"/>
  <c r="AL66" i="31"/>
  <c r="AN66" i="31"/>
  <c r="AK66" i="31"/>
  <c r="AM66" i="31"/>
  <c r="AK85" i="52"/>
  <c r="AN85" i="52"/>
  <c r="AL85" i="52"/>
  <c r="AM85" i="52"/>
  <c r="AJ85" i="52"/>
  <c r="AL104" i="34"/>
  <c r="AM104" i="34"/>
  <c r="AJ104" i="34"/>
  <c r="AN104" i="34"/>
  <c r="AK104" i="34"/>
  <c r="AL69" i="45"/>
  <c r="AK69" i="45"/>
  <c r="AJ69" i="45"/>
  <c r="AM69" i="45"/>
  <c r="AN69" i="45"/>
  <c r="AK100" i="34"/>
  <c r="AL100" i="34"/>
  <c r="AM100" i="34"/>
  <c r="AJ100" i="34"/>
  <c r="AN100" i="34"/>
  <c r="AM89" i="46"/>
  <c r="AJ89" i="46"/>
  <c r="AN89" i="46"/>
  <c r="AL89" i="46"/>
  <c r="AK89" i="46"/>
  <c r="AM47" i="48"/>
  <c r="AL47" i="48"/>
  <c r="AN47" i="48"/>
  <c r="AK47" i="48"/>
  <c r="AJ47" i="48"/>
  <c r="AK58" i="44"/>
  <c r="AJ58" i="44"/>
  <c r="AN58" i="44"/>
  <c r="AM58" i="44"/>
  <c r="AL58" i="44"/>
  <c r="AK30" i="52"/>
  <c r="AM30" i="52"/>
  <c r="AN30" i="52"/>
  <c r="AL30" i="52"/>
  <c r="AJ30" i="52"/>
  <c r="AK98" i="33"/>
  <c r="AM98" i="33"/>
  <c r="AN98" i="33"/>
  <c r="AJ98" i="33"/>
  <c r="AL98" i="33"/>
  <c r="AK70" i="34"/>
  <c r="AN70" i="34"/>
  <c r="AL70" i="34"/>
  <c r="AM70" i="34"/>
  <c r="AJ70" i="34"/>
  <c r="AK72" i="31"/>
  <c r="AM72" i="31"/>
  <c r="AL72" i="31"/>
  <c r="AN72" i="31"/>
  <c r="AJ72" i="31"/>
  <c r="AM96" i="31"/>
  <c r="AL96" i="31"/>
  <c r="AN96" i="31"/>
  <c r="AJ96" i="31"/>
  <c r="AK96" i="31"/>
  <c r="AN78" i="51"/>
  <c r="AL78" i="51"/>
  <c r="AM78" i="51"/>
  <c r="AJ78" i="51"/>
  <c r="AK78" i="51"/>
  <c r="AL89" i="50"/>
  <c r="AN89" i="50"/>
  <c r="AM89" i="50"/>
  <c r="AJ89" i="50"/>
  <c r="AK89" i="50"/>
  <c r="AN70" i="46"/>
  <c r="AK70" i="46"/>
  <c r="AL70" i="46"/>
  <c r="AM70" i="46"/>
  <c r="AJ70" i="46"/>
  <c r="AL103" i="22"/>
  <c r="AK103" i="22"/>
  <c r="AM103" i="22"/>
  <c r="AN103" i="22"/>
  <c r="AJ103" i="22"/>
  <c r="AN77" i="50"/>
  <c r="AM77" i="50"/>
  <c r="AJ77" i="50"/>
  <c r="AL77" i="50"/>
  <c r="AK77" i="50"/>
  <c r="AK73" i="52"/>
  <c r="AN73" i="52"/>
  <c r="AL73" i="52"/>
  <c r="AM73" i="52"/>
  <c r="AJ73" i="52"/>
  <c r="AM15" i="51"/>
  <c r="AL15" i="51"/>
  <c r="AK15" i="51"/>
  <c r="AJ15" i="51"/>
  <c r="AN15" i="51"/>
  <c r="AN67" i="47"/>
  <c r="AL67" i="47"/>
  <c r="AK67" i="47"/>
  <c r="AM67" i="47"/>
  <c r="AJ67" i="47"/>
  <c r="AJ15" i="50"/>
  <c r="AM15" i="50"/>
  <c r="AN15" i="50"/>
  <c r="AK15" i="50"/>
  <c r="AL15" i="50"/>
  <c r="AK82" i="44"/>
  <c r="AM82" i="44"/>
  <c r="AJ82" i="44"/>
  <c r="AL82" i="44"/>
  <c r="AN82" i="44"/>
  <c r="AK70" i="48"/>
  <c r="AJ70" i="48"/>
  <c r="AM70" i="48"/>
  <c r="AL70" i="48"/>
  <c r="AN70" i="48"/>
  <c r="AN107" i="51"/>
  <c r="AJ107" i="51"/>
  <c r="AL107" i="51"/>
  <c r="AK107" i="51"/>
  <c r="AM107" i="51"/>
  <c r="K73" i="2"/>
  <c r="M73" i="2"/>
  <c r="AK78" i="52"/>
  <c r="AJ78" i="52"/>
  <c r="AN78" i="52"/>
  <c r="AL78" i="52"/>
  <c r="AM78" i="52"/>
  <c r="AM39" i="51"/>
  <c r="AL39" i="51"/>
  <c r="AK39" i="51"/>
  <c r="AN39" i="51"/>
  <c r="AJ39" i="51"/>
  <c r="AK36" i="48"/>
  <c r="AL36" i="48"/>
  <c r="AJ36" i="48"/>
  <c r="AN36" i="48"/>
  <c r="AM36" i="48"/>
  <c r="AM109" i="22"/>
  <c r="AN109" i="22"/>
  <c r="AL109" i="22"/>
  <c r="AK109" i="22"/>
  <c r="AJ109" i="22"/>
  <c r="AN69" i="52"/>
  <c r="AL69" i="52"/>
  <c r="AM69" i="52"/>
  <c r="AK69" i="52"/>
  <c r="AJ69" i="52"/>
  <c r="AN108" i="52"/>
  <c r="AJ108" i="52"/>
  <c r="AM108" i="52"/>
  <c r="AL108" i="52"/>
  <c r="AK108" i="52"/>
  <c r="AM25" i="48"/>
  <c r="AL25" i="48"/>
  <c r="AK25" i="48"/>
  <c r="AN25" i="48"/>
  <c r="AJ25" i="48"/>
  <c r="AL74" i="47"/>
  <c r="AM74" i="47"/>
  <c r="AN74" i="47"/>
  <c r="AK74" i="47"/>
  <c r="AJ74" i="47"/>
  <c r="AK109" i="31"/>
  <c r="AJ109" i="31"/>
  <c r="AN109" i="31"/>
  <c r="AM109" i="31"/>
  <c r="AL109" i="31"/>
  <c r="AL10" i="46"/>
  <c r="AN10" i="46"/>
  <c r="AK10" i="46"/>
  <c r="AM10" i="46"/>
  <c r="AJ10" i="46"/>
  <c r="AK71" i="52"/>
  <c r="AL71" i="52"/>
  <c r="AM71" i="52"/>
  <c r="AJ71" i="52"/>
  <c r="AN71" i="52"/>
  <c r="AL107" i="53"/>
  <c r="AK107" i="53"/>
  <c r="AJ107" i="53"/>
  <c r="AN107" i="53"/>
  <c r="AM107" i="53"/>
  <c r="AM32" i="46"/>
  <c r="AJ32" i="46"/>
  <c r="AL32" i="46"/>
  <c r="AN32" i="46"/>
  <c r="AK32" i="46"/>
  <c r="AM73" i="44"/>
  <c r="AK73" i="44"/>
  <c r="AJ73" i="44"/>
  <c r="AN73" i="44"/>
  <c r="AL73" i="44"/>
  <c r="AM91" i="33"/>
  <c r="AJ91" i="33"/>
  <c r="AL91" i="33"/>
  <c r="AK91" i="33"/>
  <c r="AN91" i="33"/>
  <c r="AK64" i="31"/>
  <c r="AM64" i="31"/>
  <c r="AL64" i="31"/>
  <c r="AN64" i="31"/>
  <c r="AJ64" i="31"/>
  <c r="AM82" i="47"/>
  <c r="AK82" i="47"/>
  <c r="AJ82" i="47"/>
  <c r="AN82" i="47"/>
  <c r="AL82" i="47"/>
  <c r="AN104" i="48"/>
  <c r="AK104" i="48"/>
  <c r="AL104" i="48"/>
  <c r="AM104" i="48"/>
  <c r="AJ104" i="48"/>
  <c r="AK18" i="49"/>
  <c r="AM18" i="49"/>
  <c r="AJ18" i="49"/>
  <c r="AN18" i="49"/>
  <c r="AL18" i="49"/>
  <c r="AM84" i="44"/>
  <c r="AJ84" i="44"/>
  <c r="AN84" i="44"/>
  <c r="AK84" i="44"/>
  <c r="AL84" i="44"/>
  <c r="AN80" i="51"/>
  <c r="AL80" i="51"/>
  <c r="AK80" i="51"/>
  <c r="AJ80" i="51"/>
  <c r="AM80" i="51"/>
  <c r="AM79" i="34"/>
  <c r="AJ79" i="34"/>
  <c r="AK79" i="34"/>
  <c r="AN79" i="34"/>
  <c r="AL79" i="34"/>
  <c r="AN73" i="33"/>
  <c r="AL73" i="33"/>
  <c r="AK73" i="33"/>
  <c r="AJ73" i="33"/>
  <c r="AM73" i="33"/>
  <c r="AK82" i="32"/>
  <c r="AJ82" i="32"/>
  <c r="AN82" i="32"/>
  <c r="AM82" i="32"/>
  <c r="AL82" i="32"/>
  <c r="AJ65" i="51"/>
  <c r="AK65" i="51"/>
  <c r="AM65" i="51"/>
  <c r="AN65" i="51"/>
  <c r="AL65" i="51"/>
  <c r="K95" i="2"/>
  <c r="M95" i="2"/>
  <c r="AN12" i="52"/>
  <c r="AM12" i="52"/>
  <c r="AL12" i="52"/>
  <c r="AJ12" i="52"/>
  <c r="AK12" i="52"/>
  <c r="AM24" i="52"/>
  <c r="AJ24" i="52"/>
  <c r="AN24" i="52"/>
  <c r="AK24" i="52"/>
  <c r="AL24" i="52"/>
  <c r="AM44" i="50"/>
  <c r="AK44" i="50"/>
  <c r="AL44" i="50"/>
  <c r="AN44" i="50"/>
  <c r="AJ44" i="50"/>
  <c r="AK104" i="51"/>
  <c r="AL104" i="51"/>
  <c r="AM104" i="51"/>
  <c r="AN104" i="51"/>
  <c r="AJ104" i="51"/>
  <c r="AM11" i="49"/>
  <c r="AJ11" i="49"/>
  <c r="AN11" i="49"/>
  <c r="AK11" i="49"/>
  <c r="AL11" i="49"/>
  <c r="AK80" i="33"/>
  <c r="AL80" i="33"/>
  <c r="AM80" i="33"/>
  <c r="AN80" i="33"/>
  <c r="AJ80" i="33"/>
  <c r="AL97" i="53"/>
  <c r="AJ97" i="53"/>
  <c r="AN97" i="53"/>
  <c r="AK97" i="53"/>
  <c r="AM97" i="53"/>
  <c r="AJ33" i="49"/>
  <c r="AL33" i="49"/>
  <c r="AN33" i="49"/>
  <c r="AK33" i="49"/>
  <c r="AM33" i="49"/>
  <c r="AK67" i="31"/>
  <c r="AL67" i="31"/>
  <c r="AN67" i="31"/>
  <c r="AM67" i="31"/>
  <c r="AJ67" i="31"/>
  <c r="AL95" i="51"/>
  <c r="AK95" i="51"/>
  <c r="AM95" i="51"/>
  <c r="AJ95" i="51"/>
  <c r="AN95" i="51"/>
  <c r="AM76" i="47"/>
  <c r="AN76" i="47"/>
  <c r="AK76" i="47"/>
  <c r="AJ76" i="47"/>
  <c r="AL76" i="47"/>
  <c r="AN26" i="49"/>
  <c r="AK26" i="49"/>
  <c r="AL26" i="49"/>
  <c r="AJ26" i="49"/>
  <c r="AM26" i="49"/>
  <c r="AM91" i="53"/>
  <c r="AL91" i="53"/>
  <c r="AN91" i="53"/>
  <c r="AJ91" i="53"/>
  <c r="AK91" i="53"/>
  <c r="AK81" i="31"/>
  <c r="AJ81" i="31"/>
  <c r="AM81" i="31"/>
  <c r="AN81" i="31"/>
  <c r="AL81" i="31"/>
  <c r="AM73" i="32"/>
  <c r="AN73" i="32"/>
  <c r="AK73" i="32"/>
  <c r="AJ73" i="32"/>
  <c r="AL73" i="32"/>
  <c r="AJ51" i="47"/>
  <c r="AM51" i="47"/>
  <c r="AL51" i="47"/>
  <c r="AK51" i="47"/>
  <c r="AN51" i="47"/>
  <c r="AL74" i="32"/>
  <c r="AM74" i="32"/>
  <c r="AN74" i="32"/>
  <c r="AJ74" i="32"/>
  <c r="AK74" i="32"/>
  <c r="AJ20" i="49"/>
  <c r="AK20" i="49"/>
  <c r="AN20" i="49"/>
  <c r="AM20" i="49"/>
  <c r="AL20" i="49"/>
  <c r="AK31" i="53"/>
  <c r="AJ31" i="53"/>
  <c r="AL31" i="53"/>
  <c r="AM31" i="53"/>
  <c r="AN31" i="53"/>
  <c r="AM57" i="49"/>
  <c r="AL57" i="49"/>
  <c r="AN57" i="49"/>
  <c r="AJ57" i="49"/>
  <c r="AK57" i="49"/>
  <c r="AK15" i="45"/>
  <c r="AM15" i="45"/>
  <c r="AN15" i="45"/>
  <c r="AL15" i="45"/>
  <c r="AJ15" i="45"/>
  <c r="AM69" i="34"/>
  <c r="AL69" i="34"/>
  <c r="AJ69" i="34"/>
  <c r="AN69" i="34"/>
  <c r="AK69" i="34"/>
  <c r="AK79" i="31"/>
  <c r="AL79" i="31"/>
  <c r="AJ79" i="31"/>
  <c r="AM79" i="31"/>
  <c r="AN79" i="31"/>
  <c r="AJ40" i="50"/>
  <c r="AL40" i="50"/>
  <c r="AM40" i="50"/>
  <c r="AK40" i="50"/>
  <c r="AN40" i="50"/>
  <c r="AM89" i="51"/>
  <c r="AK89" i="51"/>
  <c r="AJ89" i="51"/>
  <c r="AL89" i="51"/>
  <c r="AN89" i="51"/>
  <c r="AJ44" i="51"/>
  <c r="AN44" i="51"/>
  <c r="AK44" i="51"/>
  <c r="AM44" i="51"/>
  <c r="AL44" i="51"/>
  <c r="AN101" i="50"/>
  <c r="AM101" i="50"/>
  <c r="AJ101" i="50"/>
  <c r="AL101" i="50"/>
  <c r="AK101" i="50"/>
  <c r="AJ84" i="45"/>
  <c r="AN84" i="45"/>
  <c r="AL84" i="45"/>
  <c r="AK84" i="45"/>
  <c r="AM84" i="45"/>
  <c r="AJ68" i="47"/>
  <c r="AK68" i="47"/>
  <c r="AL68" i="47"/>
  <c r="AN68" i="47"/>
  <c r="AM68" i="47"/>
  <c r="AM65" i="47"/>
  <c r="AK65" i="47"/>
  <c r="AN65" i="47"/>
  <c r="AJ65" i="47"/>
  <c r="AL65" i="47"/>
  <c r="AN23" i="51"/>
  <c r="AL23" i="51"/>
  <c r="AM23" i="51"/>
  <c r="AJ23" i="51"/>
  <c r="AK23" i="51"/>
  <c r="AJ60" i="52"/>
  <c r="AN60" i="52"/>
  <c r="AL60" i="52"/>
  <c r="AM60" i="52"/>
  <c r="AK60" i="52"/>
  <c r="AN20" i="48"/>
  <c r="AL20" i="48"/>
  <c r="AK20" i="48"/>
  <c r="AM20" i="48"/>
  <c r="AJ20" i="48"/>
  <c r="AM61" i="44"/>
  <c r="AL61" i="44"/>
  <c r="AK61" i="44"/>
  <c r="AJ61" i="44"/>
  <c r="AN61" i="44"/>
  <c r="AJ64" i="50"/>
  <c r="AL64" i="50"/>
  <c r="AK64" i="50"/>
  <c r="AM64" i="50"/>
  <c r="AN64" i="50"/>
  <c r="AK99" i="22"/>
  <c r="AL99" i="22"/>
  <c r="AJ99" i="22"/>
  <c r="AM99" i="22"/>
  <c r="AN99" i="22"/>
  <c r="AK46" i="51"/>
  <c r="AL46" i="51"/>
  <c r="AN46" i="51"/>
  <c r="AM46" i="51"/>
  <c r="AJ46" i="51"/>
  <c r="AM107" i="52"/>
  <c r="AK107" i="52"/>
  <c r="AL107" i="52"/>
  <c r="AJ107" i="52"/>
  <c r="AN107" i="52"/>
  <c r="AL67" i="45"/>
  <c r="AJ67" i="45"/>
  <c r="AN67" i="45"/>
  <c r="AM67" i="45"/>
  <c r="AK67" i="45"/>
  <c r="AN79" i="50"/>
  <c r="AL79" i="50"/>
  <c r="AK79" i="50"/>
  <c r="AJ79" i="50"/>
  <c r="AM79" i="50"/>
  <c r="AL108" i="51"/>
  <c r="AN108" i="51"/>
  <c r="AK108" i="51"/>
  <c r="AM108" i="51"/>
  <c r="AJ108" i="51"/>
  <c r="AJ65" i="48"/>
  <c r="AL65" i="48"/>
  <c r="AN65" i="48"/>
  <c r="AK65" i="48"/>
  <c r="AM65" i="48"/>
  <c r="AK75" i="50"/>
  <c r="AJ75" i="50"/>
  <c r="AN75" i="50"/>
  <c r="AL75" i="50"/>
  <c r="AM75" i="50"/>
  <c r="AN77" i="46"/>
  <c r="AJ77" i="46"/>
  <c r="AM77" i="46"/>
  <c r="AK77" i="46"/>
  <c r="AL77" i="46"/>
  <c r="AN87" i="32"/>
  <c r="AJ87" i="32"/>
  <c r="AL87" i="32"/>
  <c r="AM87" i="32"/>
  <c r="AK87" i="32"/>
  <c r="AL103" i="32"/>
  <c r="AN103" i="32"/>
  <c r="AM103" i="32"/>
  <c r="AJ103" i="32"/>
  <c r="AK103" i="32"/>
  <c r="AM84" i="49"/>
  <c r="AJ84" i="49"/>
  <c r="AN84" i="49"/>
  <c r="AL84" i="49"/>
  <c r="AK84" i="49"/>
  <c r="AK85" i="45"/>
  <c r="AN85" i="45"/>
  <c r="AJ85" i="45"/>
  <c r="AL85" i="45"/>
  <c r="AM85" i="45"/>
  <c r="AM104" i="52"/>
  <c r="AN104" i="52"/>
  <c r="AK104" i="52"/>
  <c r="AL104" i="52"/>
  <c r="AJ104" i="52"/>
  <c r="AN94" i="49"/>
  <c r="AJ94" i="49"/>
  <c r="AK94" i="49"/>
  <c r="AL94" i="49"/>
  <c r="AM94" i="49"/>
  <c r="AM83" i="50"/>
  <c r="AN83" i="50"/>
  <c r="AL83" i="50"/>
  <c r="AK83" i="50"/>
  <c r="AJ83" i="50"/>
  <c r="AJ97" i="52"/>
  <c r="AM97" i="52"/>
  <c r="AK97" i="52"/>
  <c r="AL97" i="52"/>
  <c r="AN97" i="52"/>
  <c r="AN42" i="47"/>
  <c r="AL42" i="47"/>
  <c r="AK42" i="47"/>
  <c r="AM42" i="47"/>
  <c r="AJ42" i="47"/>
  <c r="AM93" i="53"/>
  <c r="AJ93" i="53"/>
  <c r="AN93" i="53"/>
  <c r="AK93" i="53"/>
  <c r="AL93" i="53"/>
  <c r="AL93" i="52"/>
  <c r="AM93" i="52"/>
  <c r="AJ93" i="52"/>
  <c r="AK93" i="52"/>
  <c r="AN93" i="52"/>
  <c r="AK27" i="51"/>
  <c r="AJ27" i="51"/>
  <c r="AL27" i="51"/>
  <c r="AM27" i="51"/>
  <c r="AN27" i="51"/>
  <c r="AL61" i="50"/>
  <c r="AK61" i="50"/>
  <c r="AJ61" i="50"/>
  <c r="AM61" i="50"/>
  <c r="AN61" i="50"/>
  <c r="K83" i="2"/>
  <c r="M83" i="2"/>
  <c r="AK53" i="51"/>
  <c r="AN53" i="51"/>
  <c r="AM53" i="51"/>
  <c r="AJ53" i="51"/>
  <c r="AL53" i="51"/>
  <c r="AL51" i="49"/>
  <c r="AK51" i="49"/>
  <c r="AJ51" i="49"/>
  <c r="AM51" i="49"/>
  <c r="AN51" i="49"/>
  <c r="AN50" i="52"/>
  <c r="AJ50" i="52"/>
  <c r="AL50" i="52"/>
  <c r="AM50" i="52"/>
  <c r="AK50" i="52"/>
  <c r="AL71" i="49"/>
  <c r="AM71" i="49"/>
  <c r="AK71" i="49"/>
  <c r="AJ71" i="49"/>
  <c r="AN71" i="49"/>
  <c r="AL80" i="50"/>
  <c r="AM80" i="50"/>
  <c r="AJ80" i="50"/>
  <c r="AK80" i="50"/>
  <c r="AN80" i="50"/>
  <c r="AM59" i="48"/>
  <c r="AL59" i="48"/>
  <c r="AK59" i="48"/>
  <c r="AN59" i="48"/>
  <c r="AJ59" i="48"/>
  <c r="AM95" i="44"/>
  <c r="AJ95" i="44"/>
  <c r="AL95" i="44"/>
  <c r="AK95" i="44"/>
  <c r="AN95" i="44"/>
  <c r="AJ52" i="51"/>
  <c r="AK52" i="51"/>
  <c r="AN52" i="51"/>
  <c r="AL52" i="51"/>
  <c r="AM52" i="51"/>
  <c r="AJ48" i="51"/>
  <c r="AM48" i="51"/>
  <c r="AN48" i="51"/>
  <c r="AL48" i="51"/>
  <c r="AK48" i="51"/>
  <c r="AJ70" i="51"/>
  <c r="AN70" i="51"/>
  <c r="AL70" i="51"/>
  <c r="AK70" i="51"/>
  <c r="AM70" i="51"/>
  <c r="AL78" i="46"/>
  <c r="AJ78" i="46"/>
  <c r="AM78" i="46"/>
  <c r="AK78" i="46"/>
  <c r="AN78" i="46"/>
  <c r="AM38" i="53"/>
  <c r="AK38" i="53"/>
  <c r="AL38" i="53"/>
  <c r="AN38" i="53"/>
  <c r="AJ38" i="53"/>
  <c r="AL75" i="31"/>
  <c r="AJ75" i="31"/>
  <c r="AM75" i="31"/>
  <c r="AN75" i="31"/>
  <c r="AK75" i="31"/>
  <c r="AK106" i="52"/>
  <c r="AN106" i="52"/>
  <c r="AJ106" i="52"/>
  <c r="AL106" i="52"/>
  <c r="AM106" i="52"/>
  <c r="AM68" i="46"/>
  <c r="AL68" i="46"/>
  <c r="AJ68" i="46"/>
  <c r="AN68" i="46"/>
  <c r="AK68" i="46"/>
  <c r="AL96" i="50"/>
  <c r="AM96" i="50"/>
  <c r="AJ96" i="50"/>
  <c r="AK96" i="50"/>
  <c r="AN96" i="50"/>
  <c r="AN13" i="53"/>
  <c r="AK13" i="53"/>
  <c r="AJ13" i="53"/>
  <c r="AL13" i="53"/>
  <c r="AM13" i="53"/>
  <c r="AN19" i="51"/>
  <c r="AM19" i="51"/>
  <c r="AK19" i="51"/>
  <c r="AL19" i="51"/>
  <c r="AJ19" i="51"/>
  <c r="AN64" i="46"/>
  <c r="AJ64" i="46"/>
  <c r="AK64" i="46"/>
  <c r="AM64" i="46"/>
  <c r="AL64" i="46"/>
  <c r="AJ95" i="45"/>
  <c r="AN95" i="45"/>
  <c r="AM95" i="45"/>
  <c r="AL95" i="45"/>
  <c r="AK95" i="45"/>
  <c r="AN105" i="44"/>
  <c r="AL105" i="44"/>
  <c r="AK105" i="44"/>
  <c r="AM105" i="44"/>
  <c r="AJ105" i="44"/>
  <c r="AJ109" i="32"/>
  <c r="AM109" i="32"/>
  <c r="AK109" i="32"/>
  <c r="AL109" i="32"/>
  <c r="AN109" i="32"/>
  <c r="AL83" i="32"/>
  <c r="AN83" i="32"/>
  <c r="AJ83" i="32"/>
  <c r="AM83" i="32"/>
  <c r="AK83" i="32"/>
  <c r="AK76" i="33"/>
  <c r="AL76" i="33"/>
  <c r="AM76" i="33"/>
  <c r="AN76" i="33"/>
  <c r="AJ76" i="33"/>
  <c r="AN67" i="49"/>
  <c r="AL67" i="49"/>
  <c r="AM67" i="49"/>
  <c r="AK67" i="49"/>
  <c r="AJ67" i="49"/>
  <c r="AM59" i="47"/>
  <c r="AJ59" i="47"/>
  <c r="AN59" i="47"/>
  <c r="AL59" i="47"/>
  <c r="AK59" i="47"/>
  <c r="AK96" i="45"/>
  <c r="AJ96" i="45"/>
  <c r="AN96" i="45"/>
  <c r="AM96" i="45"/>
  <c r="AL96" i="45"/>
  <c r="AJ89" i="31"/>
  <c r="AN89" i="31"/>
  <c r="AL89" i="31"/>
  <c r="AK89" i="31"/>
  <c r="AM89" i="31"/>
  <c r="AN16" i="44"/>
  <c r="AL16" i="44"/>
  <c r="AK16" i="44"/>
  <c r="AJ16" i="44"/>
  <c r="AM16" i="44"/>
  <c r="AN55" i="44"/>
  <c r="AL55" i="44"/>
  <c r="AJ55" i="44"/>
  <c r="AM55" i="44"/>
  <c r="AK55" i="44"/>
  <c r="AN43" i="52"/>
  <c r="AK43" i="52"/>
  <c r="AM43" i="52"/>
  <c r="AJ43" i="52"/>
  <c r="AL43" i="52"/>
  <c r="AL92" i="51"/>
  <c r="AN92" i="51"/>
  <c r="AK92" i="51"/>
  <c r="AJ92" i="51"/>
  <c r="AM92" i="51"/>
  <c r="AN20" i="52"/>
  <c r="AK20" i="52"/>
  <c r="AJ20" i="52"/>
  <c r="AL20" i="52"/>
  <c r="AM20" i="52"/>
  <c r="AL97" i="22"/>
  <c r="AM97" i="22"/>
  <c r="AJ97" i="22"/>
  <c r="AK97" i="22"/>
  <c r="AN97" i="22"/>
  <c r="AJ35" i="51"/>
  <c r="AM35" i="51"/>
  <c r="AN35" i="51"/>
  <c r="AK35" i="51"/>
  <c r="AL35" i="51"/>
  <c r="AN100" i="46"/>
  <c r="AJ100" i="46"/>
  <c r="AM100" i="46"/>
  <c r="AK100" i="46"/>
  <c r="AL100" i="46"/>
  <c r="AM104" i="50"/>
  <c r="AL104" i="50"/>
  <c r="AK104" i="50"/>
  <c r="AJ104" i="50"/>
  <c r="AN104" i="50"/>
  <c r="AL40" i="49"/>
  <c r="AN40" i="49"/>
  <c r="AJ40" i="49"/>
  <c r="AK40" i="49"/>
  <c r="AM40" i="49"/>
  <c r="AL17" i="49"/>
  <c r="AK17" i="49"/>
  <c r="AJ17" i="49"/>
  <c r="AM17" i="49"/>
  <c r="AN17" i="49"/>
  <c r="AM89" i="34"/>
  <c r="AN89" i="34"/>
  <c r="AK89" i="34"/>
  <c r="AL89" i="34"/>
  <c r="AJ89" i="34"/>
  <c r="AM106" i="34"/>
  <c r="AN106" i="34"/>
  <c r="AK106" i="34"/>
  <c r="AJ106" i="34"/>
  <c r="AL106" i="34"/>
  <c r="AN80" i="48"/>
  <c r="AM80" i="48"/>
  <c r="AK80" i="48"/>
  <c r="AL80" i="48"/>
  <c r="AJ80" i="48"/>
  <c r="AM28" i="48"/>
  <c r="AK28" i="48"/>
  <c r="AL28" i="48"/>
  <c r="AN28" i="48"/>
  <c r="AJ28" i="48"/>
  <c r="AN11" i="47"/>
  <c r="AL11" i="47"/>
  <c r="AJ11" i="47"/>
  <c r="AK11" i="47"/>
  <c r="AM11" i="47"/>
  <c r="AK37" i="44"/>
  <c r="AL37" i="44"/>
  <c r="AM37" i="44"/>
  <c r="AJ37" i="44"/>
  <c r="AN37" i="44"/>
  <c r="AL46" i="52"/>
  <c r="AN46" i="52"/>
  <c r="AJ46" i="52"/>
  <c r="AM46" i="52"/>
  <c r="AK46" i="52"/>
  <c r="AJ34" i="53"/>
  <c r="AM34" i="53"/>
  <c r="AK34" i="53"/>
  <c r="AL34" i="53"/>
  <c r="AN34" i="53"/>
  <c r="AK73" i="53"/>
  <c r="AL73" i="53"/>
  <c r="AN73" i="53"/>
  <c r="AM73" i="53"/>
  <c r="AJ73" i="53"/>
  <c r="AJ61" i="52"/>
  <c r="AM61" i="52"/>
  <c r="AK61" i="52"/>
  <c r="AL61" i="52"/>
  <c r="AN61" i="52"/>
  <c r="AM44" i="47"/>
  <c r="AK44" i="47"/>
  <c r="AL44" i="47"/>
  <c r="AJ44" i="47"/>
  <c r="AN44" i="47"/>
  <c r="AL24" i="44"/>
  <c r="AJ24" i="44"/>
  <c r="AM24" i="44"/>
  <c r="AN24" i="44"/>
  <c r="AK24" i="44"/>
  <c r="AM97" i="34"/>
  <c r="AN97" i="34"/>
  <c r="AK97" i="34"/>
  <c r="AL97" i="34"/>
  <c r="AJ97" i="34"/>
  <c r="AK50" i="48"/>
  <c r="AJ50" i="48"/>
  <c r="AL50" i="48"/>
  <c r="AM50" i="48"/>
  <c r="AN50" i="48"/>
  <c r="AN109" i="46"/>
  <c r="AM109" i="46"/>
  <c r="AJ109" i="46"/>
  <c r="AK109" i="46"/>
  <c r="AL109" i="46"/>
  <c r="AJ44" i="52"/>
  <c r="AK44" i="52"/>
  <c r="AL44" i="52"/>
  <c r="AM44" i="52"/>
  <c r="AN44" i="52"/>
  <c r="M70" i="2"/>
  <c r="K70" i="2"/>
  <c r="AK80" i="22"/>
  <c r="AM80" i="22"/>
  <c r="AN80" i="22"/>
  <c r="AJ80" i="22"/>
  <c r="AL80" i="22"/>
  <c r="AM15" i="46"/>
  <c r="AJ15" i="46"/>
  <c r="AN15" i="46"/>
  <c r="AK15" i="46"/>
  <c r="AL15" i="46"/>
  <c r="AJ21" i="45"/>
  <c r="AN21" i="45"/>
  <c r="AM21" i="45"/>
  <c r="AK21" i="45"/>
  <c r="AL21" i="45"/>
  <c r="AM58" i="45"/>
  <c r="AL58" i="45"/>
  <c r="AN58" i="45"/>
  <c r="AK58" i="45"/>
  <c r="AJ58" i="45"/>
  <c r="AL89" i="48"/>
  <c r="AM89" i="48"/>
  <c r="AN89" i="48"/>
  <c r="AJ89" i="48"/>
  <c r="AK89" i="48"/>
  <c r="AL106" i="22"/>
  <c r="AN106" i="22"/>
  <c r="AM106" i="22"/>
  <c r="AJ106" i="22"/>
  <c r="AK106" i="22"/>
  <c r="K82" i="2"/>
  <c r="M82" i="2"/>
  <c r="AM60" i="45"/>
  <c r="AJ60" i="45"/>
  <c r="AN60" i="45"/>
  <c r="AL60" i="45"/>
  <c r="AK60" i="45"/>
  <c r="AN85" i="34"/>
  <c r="AM85" i="34"/>
  <c r="AK85" i="34"/>
  <c r="AL85" i="34"/>
  <c r="AJ85" i="34"/>
  <c r="AN33" i="46"/>
  <c r="AM33" i="46"/>
  <c r="AK33" i="46"/>
  <c r="AL33" i="46"/>
  <c r="AJ33" i="46"/>
  <c r="AM27" i="44"/>
  <c r="AJ27" i="44"/>
  <c r="AN27" i="44"/>
  <c r="AL27" i="44"/>
  <c r="AK27" i="44"/>
  <c r="AK10" i="45"/>
  <c r="AL10" i="45"/>
  <c r="AN10" i="45"/>
  <c r="AJ10" i="45"/>
  <c r="AM10" i="45"/>
  <c r="AN39" i="45"/>
  <c r="AJ39" i="45"/>
  <c r="AM39" i="45"/>
  <c r="AL39" i="45"/>
  <c r="AK39" i="45"/>
  <c r="AN26" i="47"/>
  <c r="AL26" i="47"/>
  <c r="AK26" i="47"/>
  <c r="AM26" i="47"/>
  <c r="AJ26" i="47"/>
  <c r="AN99" i="49"/>
  <c r="AL99" i="49"/>
  <c r="AM99" i="49"/>
  <c r="AK99" i="49"/>
  <c r="AJ99" i="49"/>
  <c r="AK13" i="48"/>
  <c r="AJ13" i="48"/>
  <c r="AL13" i="48"/>
  <c r="AN13" i="48"/>
  <c r="AM13" i="48"/>
  <c r="AN26" i="46"/>
  <c r="AK26" i="46"/>
  <c r="AL26" i="46"/>
  <c r="AM26" i="46"/>
  <c r="AJ26" i="46"/>
  <c r="AN99" i="31"/>
  <c r="AM99" i="31"/>
  <c r="AK99" i="31"/>
  <c r="AL99" i="31"/>
  <c r="AJ99" i="31"/>
  <c r="AM79" i="49"/>
  <c r="AL79" i="49"/>
  <c r="AK79" i="49"/>
  <c r="AN79" i="49"/>
  <c r="AJ79" i="49"/>
  <c r="AN97" i="50"/>
  <c r="AJ97" i="50"/>
  <c r="AM97" i="50"/>
  <c r="AK97" i="50"/>
  <c r="AL97" i="50"/>
  <c r="AL33" i="44"/>
  <c r="AM33" i="44"/>
  <c r="AN33" i="44"/>
  <c r="AK33" i="44"/>
  <c r="AJ33" i="44"/>
  <c r="AJ102" i="32"/>
  <c r="AK102" i="32"/>
  <c r="AN102" i="32"/>
  <c r="AM102" i="32"/>
  <c r="AL102" i="32"/>
  <c r="AN27" i="45"/>
  <c r="AK27" i="45"/>
  <c r="AJ27" i="45"/>
  <c r="AL27" i="45"/>
  <c r="AM27" i="45"/>
  <c r="AK84" i="48"/>
  <c r="AL84" i="48"/>
  <c r="AJ84" i="48"/>
  <c r="AM84" i="48"/>
  <c r="AN84" i="48"/>
  <c r="AK98" i="32"/>
  <c r="AN98" i="32"/>
  <c r="AL98" i="32"/>
  <c r="AJ98" i="32"/>
  <c r="AM98" i="32"/>
  <c r="AN106" i="53"/>
  <c r="AL106" i="53"/>
  <c r="AJ106" i="53"/>
  <c r="AM106" i="53"/>
  <c r="AK106" i="53"/>
  <c r="AM95" i="50"/>
  <c r="AL95" i="50"/>
  <c r="AK95" i="50"/>
  <c r="AJ95" i="50"/>
  <c r="AN95" i="50"/>
  <c r="AN49" i="52"/>
  <c r="AJ49" i="52"/>
  <c r="AK49" i="52"/>
  <c r="AL49" i="52"/>
  <c r="AM49" i="52"/>
  <c r="AJ36" i="52"/>
  <c r="AN36" i="52"/>
  <c r="AL36" i="52"/>
  <c r="AK36" i="52"/>
  <c r="AM36" i="52"/>
  <c r="AM52" i="45"/>
  <c r="AJ52" i="45"/>
  <c r="AN52" i="45"/>
  <c r="AL52" i="45"/>
  <c r="AK52" i="45"/>
  <c r="AK93" i="46"/>
  <c r="AL93" i="46"/>
  <c r="AJ93" i="46"/>
  <c r="AM93" i="46"/>
  <c r="AN93" i="46"/>
  <c r="AL69" i="53"/>
  <c r="AM69" i="53"/>
  <c r="AK69" i="53"/>
  <c r="AN69" i="53"/>
  <c r="AJ69" i="53"/>
  <c r="AN45" i="49"/>
  <c r="AK45" i="49"/>
  <c r="AJ45" i="49"/>
  <c r="AL45" i="49"/>
  <c r="AM45" i="49"/>
  <c r="AK109" i="48"/>
  <c r="AM109" i="48"/>
  <c r="AL109" i="48"/>
  <c r="AJ109" i="48"/>
  <c r="AN109" i="48"/>
  <c r="AN60" i="47"/>
  <c r="AJ60" i="47"/>
  <c r="AL60" i="47"/>
  <c r="AK60" i="47"/>
  <c r="AM60" i="47"/>
  <c r="AM94" i="51"/>
  <c r="AL94" i="51"/>
  <c r="AJ94" i="51"/>
  <c r="AN94" i="51"/>
  <c r="AK94" i="51"/>
  <c r="AN19" i="50"/>
  <c r="AM19" i="50"/>
  <c r="AJ19" i="50"/>
  <c r="AK19" i="50"/>
  <c r="AL19" i="50"/>
  <c r="AM106" i="33"/>
  <c r="AN106" i="33"/>
  <c r="AK106" i="33"/>
  <c r="AL106" i="33"/>
  <c r="AJ106" i="33"/>
  <c r="AM63" i="47"/>
  <c r="AK63" i="47"/>
  <c r="AJ63" i="47"/>
  <c r="AN63" i="47"/>
  <c r="AL63" i="47"/>
  <c r="AJ53" i="50"/>
  <c r="AN53" i="50"/>
  <c r="AK53" i="50"/>
  <c r="AM53" i="50"/>
  <c r="AL53" i="50"/>
  <c r="AM47" i="45"/>
  <c r="AN47" i="45"/>
  <c r="AJ47" i="45"/>
  <c r="AL47" i="45"/>
  <c r="AK47" i="45"/>
  <c r="AJ87" i="46"/>
  <c r="AM87" i="46"/>
  <c r="AK87" i="46"/>
  <c r="AN87" i="46"/>
  <c r="AL87" i="46"/>
  <c r="AL88" i="45"/>
  <c r="AJ88" i="45"/>
  <c r="AN88" i="45"/>
  <c r="AK88" i="45"/>
  <c r="AM88" i="45"/>
  <c r="AK107" i="45"/>
  <c r="AM107" i="45"/>
  <c r="AN107" i="45"/>
  <c r="AL107" i="45"/>
  <c r="AJ107" i="45"/>
  <c r="K61" i="2"/>
  <c r="M61" i="2"/>
  <c r="AJ105" i="22"/>
  <c r="AK105" i="22"/>
  <c r="AL105" i="22"/>
  <c r="AM105" i="22"/>
  <c r="AN105" i="22"/>
  <c r="AK93" i="32"/>
  <c r="AN93" i="32"/>
  <c r="AM93" i="32"/>
  <c r="AJ93" i="32"/>
  <c r="AL93" i="32"/>
  <c r="AM49" i="45"/>
  <c r="AL49" i="45"/>
  <c r="AK49" i="45"/>
  <c r="AJ49" i="45"/>
  <c r="AN49" i="45"/>
  <c r="AJ109" i="47"/>
  <c r="AN109" i="47"/>
  <c r="AM109" i="47"/>
  <c r="AL109" i="47"/>
  <c r="AK109" i="47"/>
  <c r="AM81" i="22"/>
  <c r="AK81" i="22"/>
  <c r="AN81" i="22"/>
  <c r="AJ81" i="22"/>
  <c r="AL81" i="22"/>
  <c r="AL12" i="49"/>
  <c r="AK12" i="49"/>
  <c r="AM12" i="49"/>
  <c r="AN12" i="49"/>
  <c r="AJ12" i="49"/>
  <c r="AJ94" i="34"/>
  <c r="AL94" i="34"/>
  <c r="AM94" i="34"/>
  <c r="AN94" i="34"/>
  <c r="AK94" i="34"/>
  <c r="AJ89" i="22"/>
  <c r="AK89" i="22"/>
  <c r="AL89" i="22"/>
  <c r="AM89" i="22"/>
  <c r="AN89" i="22"/>
  <c r="AM69" i="46"/>
  <c r="AK69" i="46"/>
  <c r="AJ69" i="46"/>
  <c r="AN69" i="46"/>
  <c r="AL69" i="46"/>
  <c r="AL55" i="49"/>
  <c r="AM55" i="49"/>
  <c r="AK55" i="49"/>
  <c r="AJ55" i="49"/>
  <c r="AN55" i="49"/>
  <c r="AJ94" i="32"/>
  <c r="AK94" i="32"/>
  <c r="AL94" i="32"/>
  <c r="AN94" i="32"/>
  <c r="AM94" i="32"/>
  <c r="AM16" i="47"/>
  <c r="AK16" i="47"/>
  <c r="AJ16" i="47"/>
  <c r="AN16" i="47"/>
  <c r="AL16" i="47"/>
  <c r="AM43" i="50"/>
  <c r="AL43" i="50"/>
  <c r="AN43" i="50"/>
  <c r="AK43" i="50"/>
  <c r="AJ43" i="50"/>
  <c r="AK35" i="32"/>
  <c r="AJ35" i="32"/>
  <c r="AM35" i="32"/>
  <c r="AL35" i="32"/>
  <c r="AN35" i="32"/>
  <c r="AN38" i="32"/>
  <c r="AL38" i="32"/>
  <c r="AJ38" i="32"/>
  <c r="AK38" i="32"/>
  <c r="AM38" i="32"/>
  <c r="AM37" i="32"/>
  <c r="AL37" i="32"/>
  <c r="AN37" i="32"/>
  <c r="AK37" i="32"/>
  <c r="AJ37" i="32"/>
  <c r="AM31" i="22"/>
  <c r="AL31" i="22"/>
  <c r="AN31" i="22"/>
  <c r="AJ31" i="22"/>
  <c r="AK31" i="22"/>
  <c r="AN18" i="32"/>
  <c r="AK18" i="32"/>
  <c r="AM18" i="32"/>
  <c r="AJ18" i="32"/>
  <c r="AL18" i="32"/>
  <c r="AK21" i="22"/>
  <c r="AN21" i="22"/>
  <c r="AJ21" i="22"/>
  <c r="AL21" i="22"/>
  <c r="AM21" i="22"/>
  <c r="AK32" i="31"/>
  <c r="AL32" i="31"/>
  <c r="AJ32" i="31"/>
  <c r="AN32" i="31"/>
  <c r="AM32" i="31"/>
  <c r="AL18" i="34"/>
  <c r="AN18" i="34"/>
  <c r="AK18" i="34"/>
  <c r="AM18" i="34"/>
  <c r="AJ18" i="34"/>
  <c r="AM33" i="22"/>
  <c r="AK33" i="22"/>
  <c r="AN33" i="22"/>
  <c r="AJ33" i="22"/>
  <c r="AL33" i="22"/>
  <c r="AK42" i="33"/>
  <c r="AN42" i="33"/>
  <c r="AJ42" i="33"/>
  <c r="AM42" i="33"/>
  <c r="AL42" i="33"/>
  <c r="AK47" i="31"/>
  <c r="AN47" i="31"/>
  <c r="AJ47" i="31"/>
  <c r="AM47" i="31"/>
  <c r="AL47" i="31"/>
  <c r="AJ60" i="31"/>
  <c r="AM60" i="31"/>
  <c r="AN60" i="31"/>
  <c r="AL60" i="31"/>
  <c r="AK60" i="31"/>
  <c r="AJ12" i="32"/>
  <c r="AK12" i="32"/>
  <c r="AM12" i="32"/>
  <c r="AN12" i="32"/>
  <c r="AL12" i="32"/>
  <c r="AN46" i="32"/>
  <c r="AL46" i="32"/>
  <c r="AK46" i="32"/>
  <c r="AM46" i="32"/>
  <c r="AJ46" i="32"/>
  <c r="AM40" i="33"/>
  <c r="AL40" i="33"/>
  <c r="AJ40" i="33"/>
  <c r="AN40" i="33"/>
  <c r="AK40" i="33"/>
  <c r="AJ24" i="34"/>
  <c r="AM24" i="34"/>
  <c r="AK24" i="34"/>
  <c r="AL24" i="34"/>
  <c r="AN24" i="34"/>
  <c r="AJ18" i="22"/>
  <c r="AK18" i="22"/>
  <c r="AL18" i="22"/>
  <c r="AN18" i="22"/>
  <c r="AM18" i="22"/>
  <c r="AM11" i="32"/>
  <c r="AL11" i="32"/>
  <c r="AN11" i="32"/>
  <c r="AJ11" i="32"/>
  <c r="AK11" i="32"/>
  <c r="AM19" i="34"/>
  <c r="AL19" i="34"/>
  <c r="AJ19" i="34"/>
  <c r="AK19" i="34"/>
  <c r="AN19" i="34"/>
  <c r="AL24" i="31"/>
  <c r="AJ24" i="31"/>
  <c r="AN24" i="31"/>
  <c r="AK24" i="31"/>
  <c r="AM24" i="31"/>
  <c r="AK15" i="22"/>
  <c r="AJ15" i="22"/>
  <c r="AL15" i="22"/>
  <c r="AM15" i="22"/>
  <c r="AN15" i="22"/>
  <c r="AK43" i="31"/>
  <c r="AJ43" i="31"/>
  <c r="AM43" i="31"/>
  <c r="AL43" i="31"/>
  <c r="AN43" i="31"/>
  <c r="AM57" i="33"/>
  <c r="AL57" i="33"/>
  <c r="AK57" i="33"/>
  <c r="AJ57" i="33"/>
  <c r="AN57" i="33"/>
  <c r="AK58" i="22"/>
  <c r="AJ58" i="22"/>
  <c r="AM58" i="22"/>
  <c r="AL58" i="22"/>
  <c r="AN58" i="22"/>
  <c r="AJ43" i="32"/>
  <c r="AK43" i="32"/>
  <c r="AN43" i="32"/>
  <c r="AM43" i="32"/>
  <c r="AL43" i="32"/>
  <c r="AL42" i="22"/>
  <c r="AN42" i="22"/>
  <c r="AK42" i="22"/>
  <c r="AM42" i="22"/>
  <c r="AJ42" i="22"/>
  <c r="AL13" i="33"/>
  <c r="AJ13" i="33"/>
  <c r="AN13" i="33"/>
  <c r="AK13" i="33"/>
  <c r="AM13" i="33"/>
  <c r="AL21" i="33"/>
  <c r="AJ21" i="33"/>
  <c r="AK21" i="33"/>
  <c r="AN21" i="33"/>
  <c r="AM21" i="33"/>
  <c r="AM47" i="33"/>
  <c r="AK47" i="33"/>
  <c r="AL47" i="33"/>
  <c r="AJ47" i="33"/>
  <c r="AN47" i="33"/>
  <c r="AJ39" i="33"/>
  <c r="AM39" i="33"/>
  <c r="AN39" i="33"/>
  <c r="AK39" i="33"/>
  <c r="AL39" i="33"/>
  <c r="AN58" i="31"/>
  <c r="AK58" i="31"/>
  <c r="AM58" i="31"/>
  <c r="AJ58" i="31"/>
  <c r="AL58" i="31"/>
  <c r="AK19" i="31"/>
  <c r="AJ19" i="31"/>
  <c r="AM19" i="31"/>
  <c r="AL19" i="31"/>
  <c r="AN19" i="31"/>
  <c r="AM52" i="32"/>
  <c r="AJ52" i="32"/>
  <c r="AL52" i="32"/>
  <c r="AN52" i="32"/>
  <c r="AK52" i="32"/>
  <c r="AM62" i="34"/>
  <c r="AN62" i="34"/>
  <c r="AK62" i="34"/>
  <c r="AL62" i="34"/>
  <c r="AJ62" i="34"/>
  <c r="AL60" i="22"/>
  <c r="AK60" i="22"/>
  <c r="AM60" i="22"/>
  <c r="AJ60" i="22"/>
  <c r="AN60" i="22"/>
  <c r="AN33" i="33"/>
  <c r="AJ33" i="33"/>
  <c r="AL33" i="33"/>
  <c r="AM33" i="33"/>
  <c r="AK33" i="33"/>
  <c r="AJ50" i="31"/>
  <c r="AM50" i="31"/>
  <c r="AK50" i="31"/>
  <c r="AL50" i="31"/>
  <c r="AN50" i="31"/>
  <c r="AN51" i="33"/>
  <c r="AM51" i="33"/>
  <c r="AK51" i="33"/>
  <c r="AL51" i="33"/>
  <c r="AJ51" i="33"/>
  <c r="AL32" i="22"/>
  <c r="AK32" i="22"/>
  <c r="AJ32" i="22"/>
  <c r="AM32" i="22"/>
  <c r="AN32" i="22"/>
  <c r="AL16" i="34"/>
  <c r="AN16" i="34"/>
  <c r="AM16" i="34"/>
  <c r="AK16" i="34"/>
  <c r="AJ16" i="34"/>
  <c r="AM31" i="32"/>
  <c r="AL31" i="32"/>
  <c r="AK31" i="32"/>
  <c r="AJ31" i="32"/>
  <c r="AN31" i="32"/>
  <c r="AM62" i="31"/>
  <c r="AN62" i="31"/>
  <c r="AJ62" i="31"/>
  <c r="AL62" i="31"/>
  <c r="AK62" i="31"/>
  <c r="AJ17" i="22"/>
  <c r="AM17" i="22"/>
  <c r="AN17" i="22"/>
  <c r="AK17" i="22"/>
  <c r="AL17" i="22"/>
  <c r="AK48" i="31"/>
  <c r="AJ48" i="31"/>
  <c r="AL48" i="31"/>
  <c r="AM48" i="31"/>
  <c r="AN48" i="31"/>
  <c r="AK34" i="31"/>
  <c r="AM34" i="31"/>
  <c r="AJ34" i="31"/>
  <c r="AN34" i="31"/>
  <c r="AL34" i="31"/>
  <c r="AJ24" i="33"/>
  <c r="AN24" i="33"/>
  <c r="AL24" i="33"/>
  <c r="AM24" i="33"/>
  <c r="AK24" i="33"/>
  <c r="AM33" i="31"/>
  <c r="AL33" i="31"/>
  <c r="AK33" i="31"/>
  <c r="AJ33" i="31"/>
  <c r="AN33" i="31"/>
  <c r="AJ42" i="31"/>
  <c r="AM42" i="31"/>
  <c r="AK42" i="31"/>
  <c r="AL42" i="31"/>
  <c r="AN42" i="31"/>
  <c r="AN46" i="31"/>
  <c r="AL46" i="31"/>
  <c r="AK46" i="31"/>
  <c r="AM46" i="31"/>
  <c r="AJ46" i="31"/>
  <c r="AK35" i="31"/>
  <c r="AJ35" i="31"/>
  <c r="AL35" i="31"/>
  <c r="AM35" i="31"/>
  <c r="AN35" i="31"/>
  <c r="AJ15" i="31"/>
  <c r="AL15" i="31"/>
  <c r="AN15" i="31"/>
  <c r="AM15" i="31"/>
  <c r="AK15" i="31"/>
  <c r="AK29" i="33"/>
  <c r="AN29" i="33"/>
  <c r="AM29" i="33"/>
  <c r="AJ29" i="33"/>
  <c r="AL29" i="33"/>
  <c r="AJ49" i="31"/>
  <c r="AM49" i="31"/>
  <c r="AK49" i="31"/>
  <c r="AL49" i="31"/>
  <c r="AN49" i="31"/>
  <c r="AK20" i="31"/>
  <c r="AJ20" i="31"/>
  <c r="AM20" i="31"/>
  <c r="AL20" i="31"/>
  <c r="AN20" i="31"/>
  <c r="AM45" i="22"/>
  <c r="AJ45" i="22"/>
  <c r="AK45" i="22"/>
  <c r="AL45" i="22"/>
  <c r="AN45" i="22"/>
  <c r="AN44" i="33"/>
  <c r="AM44" i="33"/>
  <c r="AK44" i="33"/>
  <c r="AJ44" i="33"/>
  <c r="AL44" i="33"/>
  <c r="AK16" i="31"/>
  <c r="AJ16" i="31"/>
  <c r="AM16" i="31"/>
  <c r="AL16" i="31"/>
  <c r="AN16" i="31"/>
  <c r="AJ44" i="34"/>
  <c r="AM44" i="34"/>
  <c r="AK44" i="34"/>
  <c r="AL44" i="34"/>
  <c r="AN44" i="34"/>
  <c r="AJ55" i="34"/>
  <c r="AK55" i="34"/>
  <c r="AM55" i="34"/>
  <c r="AN55" i="34"/>
  <c r="AL55" i="34"/>
  <c r="AL45" i="33"/>
  <c r="AM45" i="33"/>
  <c r="AK45" i="33"/>
  <c r="AN45" i="33"/>
  <c r="AJ45" i="33"/>
  <c r="AJ15" i="34"/>
  <c r="AL15" i="34"/>
  <c r="AN15" i="34"/>
  <c r="AK15" i="34"/>
  <c r="AM15" i="34"/>
  <c r="AJ35" i="33"/>
  <c r="AM35" i="33"/>
  <c r="AK35" i="33"/>
  <c r="AN35" i="33"/>
  <c r="AL35" i="33"/>
  <c r="AK51" i="32"/>
  <c r="AM51" i="32"/>
  <c r="AN51" i="32"/>
  <c r="AL51" i="32"/>
  <c r="AJ51" i="32"/>
  <c r="AM25" i="22"/>
  <c r="AL25" i="22"/>
  <c r="AJ25" i="22"/>
  <c r="AK25" i="22"/>
  <c r="AN25" i="22"/>
  <c r="AJ58" i="33"/>
  <c r="AL58" i="33"/>
  <c r="AK58" i="33"/>
  <c r="AM58" i="33"/>
  <c r="AN58" i="33"/>
  <c r="AM32" i="33"/>
  <c r="AL32" i="33"/>
  <c r="AN32" i="33"/>
  <c r="AJ32" i="33"/>
  <c r="AK32" i="33"/>
  <c r="AN27" i="33"/>
  <c r="AL27" i="33"/>
  <c r="AJ27" i="33"/>
  <c r="AK27" i="33"/>
  <c r="AM27" i="33"/>
  <c r="AK55" i="33"/>
  <c r="AJ55" i="33"/>
  <c r="AN55" i="33"/>
  <c r="AL55" i="33"/>
  <c r="AM55" i="33"/>
  <c r="AK47" i="34"/>
  <c r="AN47" i="34"/>
  <c r="AM47" i="34"/>
  <c r="AL47" i="34"/>
  <c r="AJ47" i="34"/>
  <c r="AL61" i="33"/>
  <c r="AN61" i="33"/>
  <c r="AM61" i="33"/>
  <c r="AK61" i="33"/>
  <c r="AJ61" i="33"/>
  <c r="AJ16" i="32"/>
  <c r="AN16" i="32"/>
  <c r="AM16" i="32"/>
  <c r="AK16" i="32"/>
  <c r="AL16" i="32"/>
  <c r="AM53" i="34"/>
  <c r="AL53" i="34"/>
  <c r="AJ53" i="34"/>
  <c r="AK53" i="34"/>
  <c r="AN53" i="34"/>
  <c r="AK53" i="32"/>
  <c r="AN53" i="32"/>
  <c r="AL53" i="32"/>
  <c r="AJ53" i="32"/>
  <c r="AM53" i="32"/>
  <c r="AM56" i="22"/>
  <c r="AK56" i="22"/>
  <c r="AL56" i="22"/>
  <c r="AJ56" i="22"/>
  <c r="AN56" i="22"/>
  <c r="AJ36" i="33"/>
  <c r="AK36" i="33"/>
  <c r="AN36" i="33"/>
  <c r="AL36" i="33"/>
  <c r="AM36" i="33"/>
  <c r="AJ35" i="22"/>
  <c r="AM35" i="22"/>
  <c r="AL35" i="22"/>
  <c r="AN35" i="22"/>
  <c r="AK35" i="22"/>
  <c r="AL43" i="34"/>
  <c r="AN43" i="34"/>
  <c r="AK43" i="34"/>
  <c r="AM43" i="34"/>
  <c r="AJ43" i="34"/>
  <c r="AJ28" i="33"/>
  <c r="AK28" i="33"/>
  <c r="AN28" i="33"/>
  <c r="AL28" i="33"/>
  <c r="AM28" i="33"/>
  <c r="AN36" i="31"/>
  <c r="AL36" i="31"/>
  <c r="AK36" i="31"/>
  <c r="AM36" i="31"/>
  <c r="AJ36" i="31"/>
  <c r="AK34" i="22"/>
  <c r="AJ34" i="22"/>
  <c r="AL34" i="22"/>
  <c r="AN34" i="22"/>
  <c r="AM34" i="22"/>
  <c r="AJ31" i="34"/>
  <c r="AK31" i="34"/>
  <c r="AM31" i="34"/>
  <c r="AL31" i="34"/>
  <c r="AN31" i="34"/>
  <c r="AN33" i="32"/>
  <c r="AL33" i="32"/>
  <c r="AK33" i="32"/>
  <c r="AJ33" i="32"/>
  <c r="AM33" i="32"/>
  <c r="AL62" i="32"/>
  <c r="AN62" i="32"/>
  <c r="AK62" i="32"/>
  <c r="AM62" i="32"/>
  <c r="AJ62" i="32"/>
  <c r="AJ30" i="34"/>
  <c r="AK30" i="34"/>
  <c r="AM30" i="34"/>
  <c r="AN30" i="34"/>
  <c r="AL30" i="34"/>
  <c r="AJ21" i="32"/>
  <c r="AN21" i="32"/>
  <c r="AK21" i="32"/>
  <c r="AM21" i="32"/>
  <c r="AL21" i="32"/>
  <c r="AN11" i="22"/>
  <c r="AM11" i="22"/>
  <c r="AL11" i="22"/>
  <c r="AK11" i="22"/>
  <c r="AJ11" i="22"/>
  <c r="AJ56" i="34"/>
  <c r="AM56" i="34"/>
  <c r="AK56" i="34"/>
  <c r="AN56" i="34"/>
  <c r="AL56" i="34"/>
  <c r="AJ10" i="33"/>
  <c r="AL10" i="33"/>
  <c r="AN10" i="33"/>
  <c r="G13" i="37" s="1"/>
  <c r="AK10" i="33"/>
  <c r="AM10" i="33"/>
  <c r="AN29" i="22"/>
  <c r="AK29" i="22"/>
  <c r="AL29" i="22"/>
  <c r="AJ29" i="22"/>
  <c r="AM29" i="22"/>
  <c r="AK52" i="31"/>
  <c r="AJ52" i="31"/>
  <c r="AL52" i="31"/>
  <c r="AM52" i="31"/>
  <c r="AN52" i="31"/>
  <c r="AJ48" i="34"/>
  <c r="AM48" i="34"/>
  <c r="AN48" i="34"/>
  <c r="AK48" i="34"/>
  <c r="AL48" i="34"/>
  <c r="AL60" i="32"/>
  <c r="AK60" i="32"/>
  <c r="AM60" i="32"/>
  <c r="AJ60" i="32"/>
  <c r="AN60" i="32"/>
  <c r="AJ28" i="22"/>
  <c r="AM28" i="22"/>
  <c r="AK28" i="22"/>
  <c r="AL28" i="22"/>
  <c r="AN28" i="22"/>
  <c r="AL34" i="34"/>
  <c r="AN34" i="34"/>
  <c r="AK34" i="34"/>
  <c r="AM34" i="34"/>
  <c r="AJ34" i="34"/>
  <c r="AM61" i="31"/>
  <c r="AL61" i="31"/>
  <c r="AN61" i="31"/>
  <c r="AJ61" i="31"/>
  <c r="AK61" i="31"/>
  <c r="AJ59" i="31"/>
  <c r="AK59" i="31"/>
  <c r="AM59" i="31"/>
  <c r="AN59" i="31"/>
  <c r="AL59" i="31"/>
  <c r="AN30" i="31"/>
  <c r="AL30" i="31"/>
  <c r="AK30" i="31"/>
  <c r="AJ30" i="31"/>
  <c r="AM30" i="31"/>
  <c r="AN10" i="22"/>
  <c r="AJ10" i="22"/>
  <c r="AL10" i="22"/>
  <c r="AK10" i="22"/>
  <c r="AM10" i="22"/>
  <c r="AK54" i="32"/>
  <c r="AM54" i="32"/>
  <c r="AN54" i="32"/>
  <c r="AJ54" i="32"/>
  <c r="AL54" i="32"/>
  <c r="AJ50" i="33"/>
  <c r="AL50" i="33"/>
  <c r="AM50" i="33"/>
  <c r="AN50" i="33"/>
  <c r="AK50" i="33"/>
  <c r="AN33" i="34"/>
  <c r="AJ33" i="34"/>
  <c r="AK33" i="34"/>
  <c r="AL33" i="34"/>
  <c r="AM33" i="34"/>
  <c r="AN9" i="32"/>
  <c r="F13" i="37" s="1"/>
  <c r="AM9" i="32"/>
  <c r="AL9" i="32"/>
  <c r="AJ9" i="32"/>
  <c r="AK9" i="32"/>
  <c r="AK55" i="32"/>
  <c r="AL55" i="32"/>
  <c r="AJ55" i="32"/>
  <c r="AN55" i="32"/>
  <c r="AM55" i="32"/>
  <c r="AJ62" i="33"/>
  <c r="AK62" i="33"/>
  <c r="AM62" i="33"/>
  <c r="AL62" i="33"/>
  <c r="AN62" i="33"/>
  <c r="AL39" i="34"/>
  <c r="AN39" i="34"/>
  <c r="AJ39" i="34"/>
  <c r="AM39" i="34"/>
  <c r="AK39" i="34"/>
  <c r="AJ24" i="32"/>
  <c r="AL24" i="32"/>
  <c r="AN24" i="32"/>
  <c r="AK24" i="32"/>
  <c r="AM24" i="32"/>
  <c r="AL12" i="34"/>
  <c r="AK12" i="34"/>
  <c r="AM12" i="34"/>
  <c r="AJ12" i="34"/>
  <c r="AN12" i="34"/>
  <c r="AM41" i="33"/>
  <c r="AL41" i="33"/>
  <c r="AJ41" i="33"/>
  <c r="AK41" i="33"/>
  <c r="AN41" i="33"/>
  <c r="AK55" i="31"/>
  <c r="AN55" i="31"/>
  <c r="AL55" i="31"/>
  <c r="AJ55" i="31"/>
  <c r="AM55" i="31"/>
  <c r="AL14" i="34"/>
  <c r="AK14" i="34"/>
  <c r="AN14" i="34"/>
  <c r="AM14" i="34"/>
  <c r="AJ14" i="34"/>
  <c r="AK59" i="22"/>
  <c r="AJ59" i="22"/>
  <c r="AM59" i="22"/>
  <c r="AL59" i="22"/>
  <c r="AN59" i="22"/>
  <c r="AN27" i="34"/>
  <c r="AK27" i="34"/>
  <c r="AM27" i="34"/>
  <c r="AL27" i="34"/>
  <c r="AJ27" i="34"/>
  <c r="AN38" i="33"/>
  <c r="AL38" i="33"/>
  <c r="AK38" i="33"/>
  <c r="AJ38" i="33"/>
  <c r="AM38" i="33"/>
  <c r="AK60" i="34"/>
  <c r="AJ60" i="34"/>
  <c r="AL60" i="34"/>
  <c r="AM60" i="34"/>
  <c r="AN60" i="34"/>
  <c r="AN52" i="33"/>
  <c r="AJ52" i="33"/>
  <c r="AM52" i="33"/>
  <c r="AL52" i="33"/>
  <c r="AK52" i="33"/>
  <c r="AJ50" i="32"/>
  <c r="AM50" i="32"/>
  <c r="AK50" i="32"/>
  <c r="AN50" i="32"/>
  <c r="AL50" i="32"/>
  <c r="AN29" i="34"/>
  <c r="AM29" i="34"/>
  <c r="AL29" i="34"/>
  <c r="AJ29" i="34"/>
  <c r="AK29" i="34"/>
  <c r="AN51" i="22"/>
  <c r="AM51" i="22"/>
  <c r="AL51" i="22"/>
  <c r="AK51" i="22"/>
  <c r="AJ51" i="22"/>
  <c r="AL28" i="34"/>
  <c r="AK28" i="34"/>
  <c r="AJ28" i="34"/>
  <c r="AN28" i="34"/>
  <c r="AM28" i="34"/>
  <c r="AL51" i="31"/>
  <c r="AK51" i="31"/>
  <c r="AN51" i="31"/>
  <c r="AM51" i="31"/>
  <c r="AJ51" i="31"/>
  <c r="AJ58" i="32"/>
  <c r="AM58" i="32"/>
  <c r="AK58" i="32"/>
  <c r="AL58" i="32"/>
  <c r="AN58" i="32"/>
  <c r="AN30" i="33"/>
  <c r="AL30" i="33"/>
  <c r="AJ30" i="33"/>
  <c r="AK30" i="33"/>
  <c r="AM30" i="33"/>
  <c r="AJ48" i="32"/>
  <c r="AN48" i="32"/>
  <c r="AM48" i="32"/>
  <c r="AK48" i="32"/>
  <c r="AL48" i="32"/>
  <c r="AM54" i="34"/>
  <c r="AK54" i="34"/>
  <c r="AN54" i="34"/>
  <c r="AL54" i="34"/>
  <c r="AJ54" i="34"/>
  <c r="AJ19" i="32"/>
  <c r="AN19" i="32"/>
  <c r="AL19" i="32"/>
  <c r="AK19" i="32"/>
  <c r="AM19" i="32"/>
  <c r="AK30" i="32"/>
  <c r="AL30" i="32"/>
  <c r="AJ30" i="32"/>
  <c r="AM30" i="32"/>
  <c r="AN30" i="32"/>
  <c r="AM47" i="32"/>
  <c r="AL47" i="32"/>
  <c r="AK47" i="32"/>
  <c r="AJ47" i="32"/>
  <c r="AN47" i="32"/>
  <c r="AM16" i="22"/>
  <c r="AN16" i="22"/>
  <c r="AJ16" i="22"/>
  <c r="AL16" i="22"/>
  <c r="AK16" i="22"/>
  <c r="AM35" i="34"/>
  <c r="AL35" i="34"/>
  <c r="AJ35" i="34"/>
  <c r="AN35" i="34"/>
  <c r="AK35" i="34"/>
  <c r="AN46" i="34"/>
  <c r="AL46" i="34"/>
  <c r="AK46" i="34"/>
  <c r="AJ46" i="34"/>
  <c r="AM46" i="34"/>
  <c r="AN41" i="34"/>
  <c r="AJ41" i="34"/>
  <c r="AL41" i="34"/>
  <c r="AK41" i="34"/>
  <c r="AM41" i="34"/>
  <c r="AJ39" i="22"/>
  <c r="AM39" i="22"/>
  <c r="AK39" i="22"/>
  <c r="AL39" i="22"/>
  <c r="AN39" i="22"/>
  <c r="AM40" i="32"/>
  <c r="AL40" i="32"/>
  <c r="AK40" i="32"/>
  <c r="AN40" i="32"/>
  <c r="AJ40" i="32"/>
  <c r="AJ64" i="34"/>
  <c r="AM64" i="34"/>
  <c r="AK64" i="34"/>
  <c r="AL64" i="34"/>
  <c r="AN64" i="34"/>
  <c r="AJ36" i="34"/>
  <c r="AL36" i="34"/>
  <c r="AK36" i="34"/>
  <c r="AM36" i="34"/>
  <c r="AN36" i="34"/>
  <c r="AL46" i="33"/>
  <c r="AN46" i="33"/>
  <c r="AJ46" i="33"/>
  <c r="AK46" i="33"/>
  <c r="AM46" i="33"/>
  <c r="AK49" i="33"/>
  <c r="AN49" i="33"/>
  <c r="AL49" i="33"/>
  <c r="AM49" i="33"/>
  <c r="AJ49" i="33"/>
  <c r="AK13" i="31"/>
  <c r="AJ13" i="31"/>
  <c r="AM13" i="31"/>
  <c r="AL13" i="31"/>
  <c r="AN13" i="31"/>
  <c r="AM59" i="34"/>
  <c r="AJ59" i="34"/>
  <c r="AK59" i="34"/>
  <c r="AL59" i="34"/>
  <c r="AN59" i="34"/>
  <c r="AL45" i="32"/>
  <c r="AN45" i="32"/>
  <c r="AJ45" i="32"/>
  <c r="AK45" i="32"/>
  <c r="AM45" i="32"/>
  <c r="AL30" i="22"/>
  <c r="AN30" i="22"/>
  <c r="AK30" i="22"/>
  <c r="AJ30" i="22"/>
  <c r="AM30" i="22"/>
  <c r="AN23" i="33"/>
  <c r="AJ23" i="33"/>
  <c r="AK23" i="33"/>
  <c r="AL23" i="33"/>
  <c r="AM23" i="33"/>
  <c r="AN22" i="31"/>
  <c r="AM22" i="31"/>
  <c r="AK22" i="31"/>
  <c r="AL22" i="31"/>
  <c r="AJ22" i="31"/>
  <c r="AM27" i="22"/>
  <c r="AL27" i="22"/>
  <c r="AK27" i="22"/>
  <c r="AJ27" i="22"/>
  <c r="AN27" i="22"/>
  <c r="AK13" i="34"/>
  <c r="AM13" i="34"/>
  <c r="AN13" i="34"/>
  <c r="AJ13" i="34"/>
  <c r="AL13" i="34"/>
  <c r="AJ38" i="22"/>
  <c r="AM38" i="22"/>
  <c r="AN38" i="22"/>
  <c r="AL38" i="22"/>
  <c r="AK38" i="22"/>
  <c r="AJ10" i="31"/>
  <c r="AM10" i="31"/>
  <c r="AK10" i="31"/>
  <c r="AN10" i="31"/>
  <c r="AL10" i="31"/>
  <c r="AK13" i="32"/>
  <c r="AN13" i="32"/>
  <c r="AL13" i="32"/>
  <c r="AM13" i="32"/>
  <c r="AJ13" i="32"/>
  <c r="AJ10" i="34"/>
  <c r="AK10" i="34"/>
  <c r="AL10" i="34"/>
  <c r="AM10" i="34"/>
  <c r="AN10" i="34"/>
  <c r="AK25" i="32"/>
  <c r="AJ25" i="32"/>
  <c r="AM25" i="32"/>
  <c r="AL25" i="32"/>
  <c r="AN25" i="32"/>
  <c r="AL13" i="22"/>
  <c r="AN13" i="22"/>
  <c r="AM13" i="22"/>
  <c r="AJ13" i="22"/>
  <c r="AK13" i="22"/>
  <c r="AJ34" i="33"/>
  <c r="AK34" i="33"/>
  <c r="AL34" i="33"/>
  <c r="AN34" i="33"/>
  <c r="AM34" i="33"/>
  <c r="AK20" i="34"/>
  <c r="AN20" i="34"/>
  <c r="AM20" i="34"/>
  <c r="AL20" i="34"/>
  <c r="AJ20" i="34"/>
  <c r="AL23" i="31"/>
  <c r="AJ23" i="31"/>
  <c r="AM23" i="31"/>
  <c r="AN23" i="31"/>
  <c r="AK23" i="31"/>
  <c r="AN19" i="22"/>
  <c r="AM19" i="22"/>
  <c r="AL19" i="22"/>
  <c r="AK19" i="22"/>
  <c r="AJ19" i="22"/>
  <c r="AJ54" i="22"/>
  <c r="AM54" i="22"/>
  <c r="AK54" i="22"/>
  <c r="AN54" i="22"/>
  <c r="AL54" i="22"/>
  <c r="AN22" i="32"/>
  <c r="AK22" i="32"/>
  <c r="AM22" i="32"/>
  <c r="AL22" i="32"/>
  <c r="AJ22" i="32"/>
  <c r="AL46" i="22"/>
  <c r="AN46" i="22"/>
  <c r="AK46" i="22"/>
  <c r="AJ46" i="22"/>
  <c r="AM46" i="22"/>
  <c r="AN43" i="22"/>
  <c r="AK43" i="22"/>
  <c r="AM43" i="22"/>
  <c r="AJ43" i="22"/>
  <c r="AL43" i="22"/>
  <c r="AJ50" i="34"/>
  <c r="AN50" i="34"/>
  <c r="AM50" i="34"/>
  <c r="AL50" i="34"/>
  <c r="AK50" i="34"/>
  <c r="AN47" i="22"/>
  <c r="AM47" i="22"/>
  <c r="AL47" i="22"/>
  <c r="AK47" i="22"/>
  <c r="AJ47" i="22"/>
  <c r="AK45" i="34"/>
  <c r="AN45" i="34"/>
  <c r="AM45" i="34"/>
  <c r="AL45" i="34"/>
  <c r="AJ45" i="34"/>
  <c r="AJ14" i="32"/>
  <c r="AM14" i="32"/>
  <c r="AK14" i="32"/>
  <c r="AN14" i="32"/>
  <c r="AL14" i="32"/>
  <c r="AK57" i="34"/>
  <c r="AL57" i="34"/>
  <c r="AJ57" i="34"/>
  <c r="AM57" i="34"/>
  <c r="AN57" i="34"/>
  <c r="AM26" i="34"/>
  <c r="AJ26" i="34"/>
  <c r="AK26" i="34"/>
  <c r="AN26" i="34"/>
  <c r="AL26" i="34"/>
  <c r="AN44" i="22"/>
  <c r="AJ44" i="22"/>
  <c r="AM44" i="22"/>
  <c r="AL44" i="22"/>
  <c r="AK44" i="22"/>
  <c r="AJ60" i="33"/>
  <c r="AM60" i="33"/>
  <c r="AK60" i="33"/>
  <c r="AL60" i="33"/>
  <c r="AN60" i="33"/>
  <c r="AN63" i="31"/>
  <c r="AM63" i="31"/>
  <c r="AK63" i="31"/>
  <c r="AJ63" i="31"/>
  <c r="AL63" i="31"/>
  <c r="AL36" i="22"/>
  <c r="AK36" i="22"/>
  <c r="AN36" i="22"/>
  <c r="AM36" i="22"/>
  <c r="AJ36" i="22"/>
  <c r="AJ50" i="22"/>
  <c r="AM50" i="22"/>
  <c r="AK50" i="22"/>
  <c r="AN50" i="22"/>
  <c r="AL50" i="22"/>
  <c r="AK63" i="34"/>
  <c r="AN63" i="34"/>
  <c r="AJ63" i="34"/>
  <c r="AL63" i="34"/>
  <c r="AM63" i="34"/>
  <c r="AN32" i="34"/>
  <c r="AM32" i="34"/>
  <c r="AK32" i="34"/>
  <c r="AL32" i="34"/>
  <c r="AJ32" i="34"/>
  <c r="AJ25" i="34"/>
  <c r="AN25" i="34"/>
  <c r="AK25" i="34"/>
  <c r="AL25" i="34"/>
  <c r="AM25" i="34"/>
  <c r="AJ18" i="33"/>
  <c r="AN18" i="33"/>
  <c r="AL18" i="33"/>
  <c r="AK18" i="33"/>
  <c r="AM18" i="33"/>
  <c r="AK39" i="32"/>
  <c r="AL39" i="32"/>
  <c r="AM39" i="32"/>
  <c r="AJ39" i="32"/>
  <c r="AN39" i="32"/>
  <c r="AM37" i="33"/>
  <c r="AK37" i="33"/>
  <c r="AL37" i="33"/>
  <c r="AJ37" i="33"/>
  <c r="AN37" i="33"/>
  <c r="AJ62" i="22"/>
  <c r="AN62" i="22"/>
  <c r="AK62" i="22"/>
  <c r="AL62" i="22"/>
  <c r="AM62" i="22"/>
  <c r="AK25" i="31"/>
  <c r="AL25" i="31"/>
  <c r="AJ25" i="31"/>
  <c r="AN25" i="31"/>
  <c r="AM25" i="31"/>
  <c r="AL26" i="32"/>
  <c r="AM26" i="32"/>
  <c r="AN26" i="32"/>
  <c r="AJ26" i="32"/>
  <c r="AK26" i="32"/>
  <c r="AK20" i="33"/>
  <c r="AJ20" i="33"/>
  <c r="AN20" i="33"/>
  <c r="AL20" i="33"/>
  <c r="AM20" i="33"/>
  <c r="AL34" i="32"/>
  <c r="AM34" i="32"/>
  <c r="AN34" i="32"/>
  <c r="AJ34" i="32"/>
  <c r="AK34" i="32"/>
  <c r="AJ42" i="34"/>
  <c r="AL42" i="34"/>
  <c r="AN42" i="34"/>
  <c r="AK42" i="34"/>
  <c r="AM42" i="34"/>
  <c r="AN14" i="22"/>
  <c r="AL14" i="22"/>
  <c r="AM14" i="22"/>
  <c r="AJ14" i="22"/>
  <c r="AK14" i="22"/>
  <c r="AK17" i="34"/>
  <c r="AJ17" i="34"/>
  <c r="AL17" i="34"/>
  <c r="AM17" i="34"/>
  <c r="AN17" i="34"/>
  <c r="AL11" i="33"/>
  <c r="AN11" i="33"/>
  <c r="AK11" i="33"/>
  <c r="AJ11" i="33"/>
  <c r="AM11" i="33"/>
  <c r="AK53" i="22"/>
  <c r="AN53" i="22"/>
  <c r="AJ53" i="22"/>
  <c r="AM53" i="22"/>
  <c r="AL53" i="22"/>
  <c r="AJ26" i="22"/>
  <c r="AM26" i="22"/>
  <c r="AK26" i="22"/>
  <c r="AN26" i="22"/>
  <c r="AL26" i="22"/>
  <c r="AL26" i="33"/>
  <c r="AN26" i="33"/>
  <c r="AJ26" i="33"/>
  <c r="AM26" i="33"/>
  <c r="AK26" i="33"/>
  <c r="AK58" i="34"/>
  <c r="AM58" i="34"/>
  <c r="AN58" i="34"/>
  <c r="AL58" i="34"/>
  <c r="AJ58" i="34"/>
  <c r="AJ23" i="22"/>
  <c r="AK23" i="22"/>
  <c r="AN23" i="22"/>
  <c r="AL23" i="22"/>
  <c r="AM23" i="22"/>
  <c r="AL51" i="34"/>
  <c r="AK51" i="34"/>
  <c r="AM51" i="34"/>
  <c r="AN51" i="34"/>
  <c r="AJ51" i="34"/>
  <c r="AJ56" i="33"/>
  <c r="AL56" i="33"/>
  <c r="AK56" i="33"/>
  <c r="AN56" i="33"/>
  <c r="AM56" i="33"/>
  <c r="AL26" i="31"/>
  <c r="AN26" i="31"/>
  <c r="AM26" i="31"/>
  <c r="AK26" i="31"/>
  <c r="AJ26" i="31"/>
  <c r="AK23" i="32"/>
  <c r="AN23" i="32"/>
  <c r="AM23" i="32"/>
  <c r="AJ23" i="32"/>
  <c r="AL23" i="32"/>
  <c r="AN27" i="31"/>
  <c r="AL27" i="31"/>
  <c r="AJ27" i="31"/>
  <c r="AK27" i="31"/>
  <c r="AM27" i="31"/>
  <c r="AJ53" i="31"/>
  <c r="AM53" i="31"/>
  <c r="AK53" i="31"/>
  <c r="AL53" i="31"/>
  <c r="AN53" i="31"/>
  <c r="AL49" i="32"/>
  <c r="AK49" i="32"/>
  <c r="AM49" i="32"/>
  <c r="AN49" i="32"/>
  <c r="AJ49" i="32"/>
  <c r="AJ48" i="33"/>
  <c r="AM48" i="33"/>
  <c r="AK48" i="33"/>
  <c r="AL48" i="33"/>
  <c r="AN48" i="33"/>
  <c r="AK24" i="22"/>
  <c r="AM24" i="22"/>
  <c r="AN24" i="22"/>
  <c r="AL24" i="22"/>
  <c r="AJ24" i="22"/>
  <c r="AN48" i="22"/>
  <c r="AM48" i="22"/>
  <c r="AK48" i="22"/>
  <c r="AL48" i="22"/>
  <c r="AJ48" i="22"/>
  <c r="AL56" i="31"/>
  <c r="AJ56" i="31"/>
  <c r="AK56" i="31"/>
  <c r="AM56" i="31"/>
  <c r="AN56" i="31"/>
  <c r="AJ17" i="31"/>
  <c r="AN17" i="31"/>
  <c r="AL17" i="31"/>
  <c r="AM17" i="31"/>
  <c r="AK17" i="31"/>
  <c r="AM36" i="32"/>
  <c r="AJ36" i="32"/>
  <c r="AL36" i="32"/>
  <c r="AK36" i="32"/>
  <c r="AN36" i="32"/>
  <c r="AK41" i="32"/>
  <c r="AJ41" i="32"/>
  <c r="AL41" i="32"/>
  <c r="AN41" i="32"/>
  <c r="AM41" i="32"/>
  <c r="AK10" i="32"/>
  <c r="AN10" i="32"/>
  <c r="AM10" i="32"/>
  <c r="AJ10" i="32"/>
  <c r="AL10" i="32"/>
  <c r="AJ44" i="31"/>
  <c r="AM44" i="31"/>
  <c r="AL44" i="31"/>
  <c r="AN44" i="31"/>
  <c r="AK44" i="31"/>
  <c r="AM61" i="34"/>
  <c r="AL61" i="34"/>
  <c r="AJ61" i="34"/>
  <c r="AK61" i="34"/>
  <c r="AN61" i="34"/>
  <c r="AL63" i="33"/>
  <c r="AN63" i="33"/>
  <c r="AM63" i="33"/>
  <c r="AK63" i="33"/>
  <c r="AJ63" i="33"/>
  <c r="AL41" i="22"/>
  <c r="AN41" i="22"/>
  <c r="AM41" i="22"/>
  <c r="AK41" i="22"/>
  <c r="AJ41" i="22"/>
  <c r="AM59" i="33"/>
  <c r="AL59" i="33"/>
  <c r="AJ59" i="33"/>
  <c r="AK59" i="33"/>
  <c r="AN59" i="33"/>
  <c r="AN53" i="33"/>
  <c r="AL53" i="33"/>
  <c r="AJ53" i="33"/>
  <c r="AK53" i="33"/>
  <c r="AM53" i="33"/>
  <c r="AJ29" i="31"/>
  <c r="AK29" i="31"/>
  <c r="AL29" i="31"/>
  <c r="AM29" i="31"/>
  <c r="AN29" i="31"/>
  <c r="AK52" i="34"/>
  <c r="AJ52" i="34"/>
  <c r="AM52" i="34"/>
  <c r="AL52" i="34"/>
  <c r="AN52" i="34"/>
  <c r="AK41" i="31"/>
  <c r="AL41" i="31"/>
  <c r="AJ41" i="31"/>
  <c r="AM41" i="31"/>
  <c r="AN41" i="31"/>
  <c r="AJ59" i="32"/>
  <c r="AK59" i="32"/>
  <c r="AN59" i="32"/>
  <c r="AL59" i="32"/>
  <c r="AM59" i="32"/>
  <c r="AJ43" i="33"/>
  <c r="AM43" i="33"/>
  <c r="AK43" i="33"/>
  <c r="AN43" i="33"/>
  <c r="AL43" i="33"/>
  <c r="AN17" i="32"/>
  <c r="AL17" i="32"/>
  <c r="AJ17" i="32"/>
  <c r="AK17" i="32"/>
  <c r="AM17" i="32"/>
  <c r="AN22" i="33"/>
  <c r="AL22" i="33"/>
  <c r="AJ22" i="33"/>
  <c r="AK22" i="33"/>
  <c r="AM22" i="33"/>
  <c r="AM49" i="22"/>
  <c r="AJ49" i="22"/>
  <c r="AN49" i="22"/>
  <c r="AK49" i="22"/>
  <c r="AL49" i="22"/>
  <c r="AM57" i="32"/>
  <c r="AL57" i="32"/>
  <c r="AJ57" i="32"/>
  <c r="AK57" i="32"/>
  <c r="AN57" i="32"/>
  <c r="AK32" i="32"/>
  <c r="AM32" i="32"/>
  <c r="AL32" i="32"/>
  <c r="AN32" i="32"/>
  <c r="AJ32" i="32"/>
  <c r="AN63" i="22"/>
  <c r="AM63" i="22"/>
  <c r="AJ63" i="22"/>
  <c r="AL63" i="22"/>
  <c r="AK63" i="22"/>
  <c r="AN38" i="34"/>
  <c r="AJ38" i="34"/>
  <c r="AL38" i="34"/>
  <c r="AK38" i="34"/>
  <c r="AM38" i="34"/>
  <c r="AJ19" i="33"/>
  <c r="AK19" i="33"/>
  <c r="AL19" i="33"/>
  <c r="AN19" i="33"/>
  <c r="AM19" i="33"/>
  <c r="AM15" i="32"/>
  <c r="AL15" i="32"/>
  <c r="AN15" i="32"/>
  <c r="AK15" i="32"/>
  <c r="AJ15" i="32"/>
  <c r="AL11" i="34"/>
  <c r="AK11" i="34"/>
  <c r="AN11" i="34"/>
  <c r="AM11" i="34"/>
  <c r="AJ11" i="34"/>
  <c r="AM12" i="22"/>
  <c r="AN12" i="22"/>
  <c r="AJ12" i="22"/>
  <c r="AL12" i="22"/>
  <c r="AK12" i="22"/>
  <c r="AK40" i="22"/>
  <c r="AJ40" i="22"/>
  <c r="AL40" i="22"/>
  <c r="AM40" i="22"/>
  <c r="AN40" i="22"/>
  <c r="AL22" i="34"/>
  <c r="AK22" i="34"/>
  <c r="AJ22" i="34"/>
  <c r="AM22" i="34"/>
  <c r="AN22" i="34"/>
  <c r="AN11" i="31"/>
  <c r="AK11" i="31"/>
  <c r="AM11" i="31"/>
  <c r="AJ11" i="31"/>
  <c r="AL11" i="31"/>
  <c r="AN57" i="31"/>
  <c r="AM57" i="31"/>
  <c r="AJ57" i="31"/>
  <c r="AK57" i="31"/>
  <c r="AL57" i="31"/>
  <c r="AK61" i="22"/>
  <c r="AJ61" i="22"/>
  <c r="AM61" i="22"/>
  <c r="AL61" i="22"/>
  <c r="AN61" i="22"/>
  <c r="AL20" i="32"/>
  <c r="AK20" i="32"/>
  <c r="AN20" i="32"/>
  <c r="AM20" i="32"/>
  <c r="AJ20" i="32"/>
  <c r="AN31" i="33"/>
  <c r="AJ31" i="33"/>
  <c r="AL31" i="33"/>
  <c r="AK31" i="33"/>
  <c r="AM31" i="33"/>
  <c r="AM20" i="22"/>
  <c r="AJ20" i="22"/>
  <c r="AN20" i="22"/>
  <c r="AL20" i="22"/>
  <c r="AK20" i="22"/>
  <c r="AM12" i="33"/>
  <c r="AJ12" i="33"/>
  <c r="AL12" i="33"/>
  <c r="AN12" i="33"/>
  <c r="AK12" i="33"/>
  <c r="AJ63" i="32"/>
  <c r="AM63" i="32"/>
  <c r="AN63" i="32"/>
  <c r="AK63" i="32"/>
  <c r="AL63" i="32"/>
  <c r="AL57" i="22"/>
  <c r="AN57" i="22"/>
  <c r="AM57" i="22"/>
  <c r="AJ57" i="22"/>
  <c r="AK57" i="22"/>
  <c r="AL40" i="34"/>
  <c r="AN40" i="34"/>
  <c r="AK40" i="34"/>
  <c r="AM40" i="34"/>
  <c r="AJ40" i="34"/>
  <c r="AL31" i="31"/>
  <c r="AJ31" i="31"/>
  <c r="AK31" i="31"/>
  <c r="AN31" i="31"/>
  <c r="AM31" i="31"/>
  <c r="AM61" i="32"/>
  <c r="AJ61" i="32"/>
  <c r="AL61" i="32"/>
  <c r="AK61" i="32"/>
  <c r="AN61" i="32"/>
  <c r="AN28" i="31"/>
  <c r="AL28" i="31"/>
  <c r="AJ28" i="31"/>
  <c r="AM28" i="31"/>
  <c r="AK28" i="31"/>
  <c r="AK18" i="31"/>
  <c r="AJ18" i="31"/>
  <c r="AL18" i="31"/>
  <c r="AM18" i="31"/>
  <c r="AN18" i="31"/>
  <c r="AK23" i="34"/>
  <c r="AN23" i="34"/>
  <c r="AJ23" i="34"/>
  <c r="AM23" i="34"/>
  <c r="AL23" i="34"/>
  <c r="AN40" i="31"/>
  <c r="AL40" i="31"/>
  <c r="AJ40" i="31"/>
  <c r="AM40" i="31"/>
  <c r="AK40" i="31"/>
  <c r="AL14" i="31"/>
  <c r="AK14" i="31"/>
  <c r="AN14" i="31"/>
  <c r="AM14" i="31"/>
  <c r="AJ14" i="31"/>
  <c r="AJ56" i="32"/>
  <c r="AN56" i="32"/>
  <c r="AK56" i="32"/>
  <c r="AL56" i="32"/>
  <c r="AM56" i="32"/>
  <c r="AM44" i="32"/>
  <c r="AK44" i="32"/>
  <c r="AN44" i="32"/>
  <c r="AJ44" i="32"/>
  <c r="AL44" i="32"/>
  <c r="AL37" i="22"/>
  <c r="AM37" i="22"/>
  <c r="AJ37" i="22"/>
  <c r="AN37" i="22"/>
  <c r="AK37" i="22"/>
  <c r="AM25" i="33"/>
  <c r="AJ25" i="33"/>
  <c r="AN25" i="33"/>
  <c r="AL25" i="33"/>
  <c r="AK25" i="33"/>
  <c r="AJ17" i="33"/>
  <c r="AM17" i="33"/>
  <c r="AK17" i="33"/>
  <c r="AN17" i="33"/>
  <c r="AL17" i="33"/>
  <c r="AJ12" i="31"/>
  <c r="AM12" i="31"/>
  <c r="AK12" i="31"/>
  <c r="AN12" i="31"/>
  <c r="AL12" i="31"/>
  <c r="AN37" i="34"/>
  <c r="AL37" i="34"/>
  <c r="AJ37" i="34"/>
  <c r="AK37" i="34"/>
  <c r="AM37" i="34"/>
  <c r="AJ52" i="22"/>
  <c r="AK52" i="22"/>
  <c r="AL52" i="22"/>
  <c r="AM52" i="22"/>
  <c r="AN52" i="22"/>
  <c r="AK22" i="22"/>
  <c r="AJ22" i="22"/>
  <c r="AM22" i="22"/>
  <c r="AN22" i="22"/>
  <c r="AL22" i="22"/>
  <c r="AN14" i="33"/>
  <c r="AJ14" i="33"/>
  <c r="AK14" i="33"/>
  <c r="AL14" i="33"/>
  <c r="AM14" i="33"/>
  <c r="AJ54" i="33"/>
  <c r="AM54" i="33"/>
  <c r="AK54" i="33"/>
  <c r="AL54" i="33"/>
  <c r="AN54" i="33"/>
  <c r="AL29" i="32"/>
  <c r="AM29" i="32"/>
  <c r="AJ29" i="32"/>
  <c r="AN29" i="32"/>
  <c r="AK29" i="32"/>
  <c r="AM28" i="32"/>
  <c r="AK28" i="32"/>
  <c r="AL28" i="32"/>
  <c r="AN28" i="32"/>
  <c r="AJ28" i="32"/>
  <c r="AM39" i="31"/>
  <c r="AN39" i="31"/>
  <c r="AK39" i="31"/>
  <c r="AJ39" i="31"/>
  <c r="AL39" i="31"/>
  <c r="AJ21" i="31"/>
  <c r="AL21" i="31"/>
  <c r="AN21" i="31"/>
  <c r="AM21" i="31"/>
  <c r="AK21" i="31"/>
  <c r="AN27" i="32"/>
  <c r="AK27" i="32"/>
  <c r="AM27" i="32"/>
  <c r="AJ27" i="32"/>
  <c r="AL27" i="32"/>
  <c r="AK49" i="34"/>
  <c r="AJ49" i="34"/>
  <c r="AL49" i="34"/>
  <c r="AN49" i="34"/>
  <c r="AM49" i="34"/>
  <c r="AJ54" i="31"/>
  <c r="AL54" i="31"/>
  <c r="AN54" i="31"/>
  <c r="AM54" i="31"/>
  <c r="AK54" i="31"/>
  <c r="AL38" i="31"/>
  <c r="AK38" i="31"/>
  <c r="AN38" i="31"/>
  <c r="AM38" i="31"/>
  <c r="AJ38" i="31"/>
  <c r="AL42" i="32"/>
  <c r="AN42" i="32"/>
  <c r="AM42" i="32"/>
  <c r="AJ42" i="32"/>
  <c r="AK42" i="32"/>
  <c r="AK55" i="22"/>
  <c r="AN55" i="22"/>
  <c r="AL55" i="22"/>
  <c r="AM55" i="22"/>
  <c r="AJ55" i="22"/>
  <c r="AJ37" i="31"/>
  <c r="AL37" i="31"/>
  <c r="AN37" i="31"/>
  <c r="AK37" i="31"/>
  <c r="AM37" i="31"/>
  <c r="AM16" i="33"/>
  <c r="AN16" i="33"/>
  <c r="AL16" i="33"/>
  <c r="AJ16" i="33"/>
  <c r="AK16" i="33"/>
  <c r="AJ15" i="33"/>
  <c r="AN15" i="33"/>
  <c r="AL15" i="33"/>
  <c r="AK15" i="33"/>
  <c r="AM15" i="33"/>
  <c r="AK45" i="31"/>
  <c r="AJ45" i="31"/>
  <c r="AL45" i="31"/>
  <c r="AM45" i="31"/>
  <c r="AN45" i="31"/>
  <c r="AN21" i="34"/>
  <c r="AL21" i="34"/>
  <c r="AJ21" i="34"/>
  <c r="AM21" i="34"/>
  <c r="AK21" i="34"/>
  <c r="B8" i="2"/>
  <c r="M10" i="37" l="1"/>
  <c r="M21" i="37" s="1"/>
  <c r="I10" i="37"/>
  <c r="I21" i="37" s="1"/>
  <c r="Q10" i="37"/>
  <c r="Q21" i="37" s="1"/>
  <c r="J10" i="37"/>
  <c r="J21" i="37" s="1"/>
  <c r="R10" i="37"/>
  <c r="R21" i="37" s="1"/>
  <c r="N10" i="37"/>
  <c r="N21" i="37" s="1"/>
  <c r="O10" i="37"/>
  <c r="O21" i="37" s="1"/>
  <c r="P10" i="37"/>
  <c r="P21" i="37" s="1"/>
  <c r="K10" i="37"/>
  <c r="K21" i="37" s="1"/>
  <c r="L10" i="37"/>
  <c r="L21" i="37" s="1"/>
  <c r="Q8" i="37"/>
  <c r="J11" i="37"/>
  <c r="J22" i="37" s="1"/>
  <c r="Q9" i="37"/>
  <c r="Q20" i="37" s="1"/>
  <c r="N8" i="37"/>
  <c r="R9" i="37"/>
  <c r="R20" i="37" s="1"/>
  <c r="M12" i="37"/>
  <c r="M23" i="37" s="1"/>
  <c r="I12" i="37"/>
  <c r="I23" i="37" s="1"/>
  <c r="J8" i="37"/>
  <c r="R12" i="37"/>
  <c r="R23" i="37" s="1"/>
  <c r="M8" i="37"/>
  <c r="I11" i="37"/>
  <c r="I22" i="37" s="1"/>
  <c r="R8" i="37"/>
  <c r="L12" i="37"/>
  <c r="L23" i="37" s="1"/>
  <c r="J12" i="37"/>
  <c r="J23" i="37" s="1"/>
  <c r="K8" i="37"/>
  <c r="R11" i="37"/>
  <c r="R22" i="37" s="1"/>
  <c r="M9" i="37"/>
  <c r="M20" i="37" s="1"/>
  <c r="P9" i="37"/>
  <c r="P20" i="37" s="1"/>
  <c r="I8" i="37"/>
  <c r="K11" i="37"/>
  <c r="K22" i="37" s="1"/>
  <c r="O8" i="37"/>
  <c r="P8" i="37"/>
  <c r="L8" i="37"/>
  <c r="I9" i="37"/>
  <c r="I20" i="37" s="1"/>
  <c r="J9" i="37"/>
  <c r="J20" i="37" s="1"/>
  <c r="K9" i="37"/>
  <c r="K20" i="37" s="1"/>
  <c r="P11" i="37"/>
  <c r="P22" i="37" s="1"/>
  <c r="L11" i="37"/>
  <c r="L22" i="37" s="1"/>
  <c r="K12" i="37"/>
  <c r="K23" i="37" s="1"/>
  <c r="Q11" i="37"/>
  <c r="Q22" i="37" s="1"/>
  <c r="N9" i="37"/>
  <c r="N20" i="37" s="1"/>
  <c r="O11" i="37"/>
  <c r="O22" i="37" s="1"/>
  <c r="L9" i="37"/>
  <c r="L20" i="37" s="1"/>
  <c r="N11" i="37"/>
  <c r="N22" i="37" s="1"/>
  <c r="O12" i="37"/>
  <c r="O23" i="37" s="1"/>
  <c r="Q12" i="37"/>
  <c r="Q23" i="37" s="1"/>
  <c r="N12" i="37"/>
  <c r="N23" i="37" s="1"/>
  <c r="O9" i="37"/>
  <c r="O20" i="37" s="1"/>
  <c r="M11" i="37"/>
  <c r="M22" i="37" s="1"/>
  <c r="P12" i="37"/>
  <c r="P23" i="37" s="1"/>
  <c r="H9" i="37"/>
  <c r="F9" i="37"/>
  <c r="H8" i="37"/>
  <c r="E9" i="37"/>
  <c r="F8" i="37"/>
  <c r="G8" i="37"/>
  <c r="E8" i="37"/>
  <c r="D8" i="37"/>
  <c r="G9" i="37"/>
  <c r="D9" i="37"/>
  <c r="F10" i="37"/>
  <c r="D10" i="37"/>
  <c r="H10" i="37"/>
  <c r="E10" i="37"/>
  <c r="G10" i="37"/>
  <c r="B4" i="34"/>
  <c r="AW3" i="34"/>
  <c r="F6" i="34" s="1"/>
  <c r="B4" i="33"/>
  <c r="AW3" i="33"/>
  <c r="F6" i="33" s="1"/>
  <c r="B3" i="32"/>
  <c r="B4" i="31"/>
  <c r="AW3" i="31"/>
  <c r="F6" i="31" s="1"/>
  <c r="B4" i="22"/>
  <c r="AW3" i="22"/>
  <c r="F6" i="22" s="1"/>
  <c r="W3" i="2"/>
  <c r="F8" i="2" s="1"/>
  <c r="AK70" i="28"/>
  <c r="AK69" i="28"/>
  <c r="AK68" i="28"/>
  <c r="AK67" i="28"/>
  <c r="AK66" i="28"/>
  <c r="AK65" i="28"/>
  <c r="AK64" i="28"/>
  <c r="AK63" i="28"/>
  <c r="AK62" i="28"/>
  <c r="AK61" i="28"/>
  <c r="AK60" i="28"/>
  <c r="AK59" i="28"/>
  <c r="AK58" i="28"/>
  <c r="AK57" i="28"/>
  <c r="AK56" i="28"/>
  <c r="AK55" i="28"/>
  <c r="AK54" i="28"/>
  <c r="AK53" i="28"/>
  <c r="AK52" i="28"/>
  <c r="AK51" i="28"/>
  <c r="AK50" i="28"/>
  <c r="AK49" i="28"/>
  <c r="AK48" i="28"/>
  <c r="AK47" i="28"/>
  <c r="AK46" i="28"/>
  <c r="AK45" i="28"/>
  <c r="AK44" i="28"/>
  <c r="AK43" i="28"/>
  <c r="AK42" i="28"/>
  <c r="AK41" i="28"/>
  <c r="AK40" i="28"/>
  <c r="AK39" i="28"/>
  <c r="AK38" i="28"/>
  <c r="AK37" i="28"/>
  <c r="AK36" i="28"/>
  <c r="AK35" i="28"/>
  <c r="AK34" i="28"/>
  <c r="AK33" i="28"/>
  <c r="AK32" i="28"/>
  <c r="AK31" i="28"/>
  <c r="AK30" i="28"/>
  <c r="AK29" i="28"/>
  <c r="AK28" i="28"/>
  <c r="AK27" i="28"/>
  <c r="AK26" i="28"/>
  <c r="AK25" i="28"/>
  <c r="AK24" i="28"/>
  <c r="AK23" i="28"/>
  <c r="AK22" i="28"/>
  <c r="AK21" i="28"/>
  <c r="AK20" i="28"/>
  <c r="AK19" i="28"/>
  <c r="AK18" i="28"/>
  <c r="AK17" i="28"/>
  <c r="AK16" i="28"/>
  <c r="AO16" i="28" s="1"/>
  <c r="L19" i="37" l="1"/>
  <c r="L14" i="37"/>
  <c r="L25" i="37" s="1"/>
  <c r="K19" i="37"/>
  <c r="K14" i="37"/>
  <c r="K25" i="37" s="1"/>
  <c r="P19" i="37"/>
  <c r="P14" i="37"/>
  <c r="P25" i="37" s="1"/>
  <c r="O19" i="37"/>
  <c r="O14" i="37"/>
  <c r="O25" i="37" s="1"/>
  <c r="R19" i="37"/>
  <c r="R14" i="37"/>
  <c r="R25" i="37" s="1"/>
  <c r="N19" i="37"/>
  <c r="N14" i="37"/>
  <c r="N25" i="37" s="1"/>
  <c r="I19" i="37"/>
  <c r="I14" i="37"/>
  <c r="I25" i="37" s="1"/>
  <c r="M19" i="37"/>
  <c r="M14" i="37"/>
  <c r="M25" i="37" s="1"/>
  <c r="J19" i="37"/>
  <c r="J14" i="37"/>
  <c r="J25" i="37" s="1"/>
  <c r="Q19" i="37"/>
  <c r="Q14" i="37"/>
  <c r="Q25" i="37" s="1"/>
  <c r="M15" i="2"/>
  <c r="AJ64" i="28"/>
  <c r="AJ45" i="28"/>
  <c r="AJ41" i="28"/>
  <c r="AJ57" i="28"/>
  <c r="M19" i="2"/>
  <c r="AJ49" i="28"/>
  <c r="AJ69" i="28"/>
  <c r="AJ28" i="28"/>
  <c r="M35" i="2"/>
  <c r="AJ32" i="28"/>
  <c r="AJ17" i="28"/>
  <c r="AJ37" i="28"/>
  <c r="AJ53" i="28"/>
  <c r="M51" i="2"/>
  <c r="AJ60" i="28"/>
  <c r="AJ21" i="28"/>
  <c r="AJ16" i="28"/>
  <c r="AJ44" i="28"/>
  <c r="AJ36" i="28"/>
  <c r="AJ48" i="28"/>
  <c r="AJ40" i="28"/>
  <c r="AJ68" i="28"/>
  <c r="M23" i="2"/>
  <c r="AJ25" i="28"/>
  <c r="AJ22" i="28"/>
  <c r="AJ39" i="28"/>
  <c r="AJ54" i="28"/>
  <c r="M27" i="2"/>
  <c r="AJ38" i="28"/>
  <c r="AJ18" i="28"/>
  <c r="AJ33" i="28"/>
  <c r="M25" i="2"/>
  <c r="AJ46" i="28"/>
  <c r="M21" i="2"/>
  <c r="AJ61" i="28"/>
  <c r="AJ56" i="28"/>
  <c r="AJ20" i="28"/>
  <c r="AJ30" i="28"/>
  <c r="AJ34" i="28"/>
  <c r="M17" i="2"/>
  <c r="AJ19" i="28"/>
  <c r="AJ59" i="28"/>
  <c r="AJ31" i="28"/>
  <c r="AJ35" i="28"/>
  <c r="AJ65" i="28"/>
  <c r="AJ58" i="28"/>
  <c r="M14" i="2"/>
  <c r="AJ51" i="28"/>
  <c r="AJ55" i="28"/>
  <c r="M13" i="2"/>
  <c r="AJ62" i="28"/>
  <c r="AJ67" i="28"/>
  <c r="AJ23" i="28"/>
  <c r="M39" i="2"/>
  <c r="AJ66" i="28"/>
  <c r="AJ50" i="28"/>
  <c r="AJ24" i="28"/>
  <c r="AJ47" i="28"/>
  <c r="AJ70" i="28"/>
  <c r="M16" i="2"/>
  <c r="AJ63" i="28"/>
  <c r="AJ42" i="28"/>
  <c r="AJ26" i="28"/>
  <c r="M45" i="2"/>
  <c r="M32" i="2"/>
  <c r="M43" i="2"/>
  <c r="AJ52" i="28"/>
  <c r="M18" i="2"/>
  <c r="M59" i="2"/>
  <c r="M34" i="2"/>
  <c r="M52" i="2"/>
  <c r="AJ27" i="28"/>
  <c r="M55" i="2"/>
  <c r="M33" i="2"/>
  <c r="M38" i="2"/>
  <c r="M31" i="2"/>
  <c r="AJ43" i="28"/>
  <c r="M20" i="2"/>
  <c r="M58" i="2"/>
  <c r="M29" i="2"/>
  <c r="M47" i="2"/>
  <c r="M37" i="2"/>
  <c r="M42" i="2"/>
  <c r="M22" i="2"/>
  <c r="M36" i="2"/>
  <c r="AJ29" i="28"/>
  <c r="M49" i="2"/>
  <c r="M57" i="2"/>
  <c r="M40" i="2"/>
  <c r="M56" i="2"/>
  <c r="M54" i="2"/>
  <c r="M28" i="2"/>
  <c r="M26" i="2"/>
  <c r="M44" i="2"/>
  <c r="M50" i="2"/>
  <c r="M48" i="2"/>
  <c r="M46" i="2"/>
  <c r="M24" i="2"/>
  <c r="M53" i="2"/>
  <c r="M41" i="2"/>
  <c r="M30" i="2"/>
  <c r="G21" i="37" l="1"/>
  <c r="B12" i="28"/>
  <c r="M12" i="2"/>
  <c r="C30" i="37" s="1"/>
  <c r="K12" i="2"/>
  <c r="O12" i="2"/>
  <c r="L12" i="2"/>
  <c r="N12" i="2"/>
  <c r="H21" i="37"/>
  <c r="E21" i="37"/>
  <c r="F21" i="37"/>
  <c r="O26" i="2"/>
  <c r="K26" i="2"/>
  <c r="N26" i="2"/>
  <c r="L26" i="2"/>
  <c r="K22" i="2"/>
  <c r="L22" i="2"/>
  <c r="N22" i="2"/>
  <c r="O22" i="2"/>
  <c r="O37" i="2"/>
  <c r="N37" i="2"/>
  <c r="K37" i="2"/>
  <c r="L37" i="2"/>
  <c r="K24" i="2"/>
  <c r="L24" i="2"/>
  <c r="N24" i="2"/>
  <c r="O24" i="2"/>
  <c r="O44" i="2"/>
  <c r="K44" i="2"/>
  <c r="N44" i="2"/>
  <c r="L44" i="2"/>
  <c r="L54" i="2"/>
  <c r="N54" i="2"/>
  <c r="O54" i="2"/>
  <c r="K54" i="2"/>
  <c r="K40" i="2"/>
  <c r="O40" i="2"/>
  <c r="N40" i="2"/>
  <c r="L40" i="2"/>
  <c r="O49" i="2"/>
  <c r="K49" i="2"/>
  <c r="N49" i="2"/>
  <c r="L49" i="2"/>
  <c r="O58" i="2"/>
  <c r="K58" i="2"/>
  <c r="N58" i="2"/>
  <c r="L58" i="2"/>
  <c r="K38" i="2"/>
  <c r="L38" i="2"/>
  <c r="O38" i="2"/>
  <c r="N38" i="2"/>
  <c r="O39" i="2"/>
  <c r="L39" i="2"/>
  <c r="K39" i="2"/>
  <c r="N39" i="2"/>
  <c r="L51" i="2"/>
  <c r="O51" i="2"/>
  <c r="K51" i="2"/>
  <c r="N51" i="2"/>
  <c r="O15" i="2"/>
  <c r="L15" i="2"/>
  <c r="K15" i="2"/>
  <c r="N15" i="2"/>
  <c r="O48" i="2"/>
  <c r="L48" i="2"/>
  <c r="K48" i="2"/>
  <c r="N48" i="2"/>
  <c r="N50" i="2"/>
  <c r="K50" i="2"/>
  <c r="O50" i="2"/>
  <c r="L50" i="2"/>
  <c r="O28" i="2"/>
  <c r="K28" i="2"/>
  <c r="L28" i="2"/>
  <c r="N28" i="2"/>
  <c r="O20" i="2"/>
  <c r="K20" i="2"/>
  <c r="N20" i="2"/>
  <c r="L20" i="2"/>
  <c r="O34" i="2"/>
  <c r="N34" i="2"/>
  <c r="K34" i="2"/>
  <c r="L34" i="2"/>
  <c r="O59" i="2"/>
  <c r="K59" i="2"/>
  <c r="L59" i="2"/>
  <c r="N59" i="2"/>
  <c r="L43" i="2"/>
  <c r="K43" i="2"/>
  <c r="O43" i="2"/>
  <c r="N43" i="2"/>
  <c r="O45" i="2"/>
  <c r="K45" i="2"/>
  <c r="L45" i="2"/>
  <c r="N45" i="2"/>
  <c r="O17" i="2"/>
  <c r="N17" i="2"/>
  <c r="L17" i="2"/>
  <c r="K17" i="2"/>
  <c r="O25" i="2"/>
  <c r="K25" i="2"/>
  <c r="L25" i="2"/>
  <c r="N25" i="2"/>
  <c r="L19" i="2"/>
  <c r="O19" i="2"/>
  <c r="N19" i="2"/>
  <c r="K19" i="2"/>
  <c r="O41" i="2"/>
  <c r="K41" i="2"/>
  <c r="N41" i="2"/>
  <c r="L41" i="2"/>
  <c r="K56" i="2"/>
  <c r="N56" i="2"/>
  <c r="O56" i="2"/>
  <c r="L56" i="2"/>
  <c r="O29" i="2"/>
  <c r="K29" i="2"/>
  <c r="N29" i="2"/>
  <c r="L29" i="2"/>
  <c r="O31" i="2"/>
  <c r="L31" i="2"/>
  <c r="N31" i="2"/>
  <c r="K31" i="2"/>
  <c r="O52" i="2"/>
  <c r="N52" i="2"/>
  <c r="K52" i="2"/>
  <c r="L52" i="2"/>
  <c r="O23" i="2"/>
  <c r="K23" i="2"/>
  <c r="N23" i="2"/>
  <c r="L23" i="2"/>
  <c r="O53" i="2"/>
  <c r="K53" i="2"/>
  <c r="N53" i="2"/>
  <c r="L53" i="2"/>
  <c r="O47" i="2"/>
  <c r="L47" i="2"/>
  <c r="K47" i="2"/>
  <c r="N47" i="2"/>
  <c r="O55" i="2"/>
  <c r="L55" i="2"/>
  <c r="K55" i="2"/>
  <c r="N55" i="2"/>
  <c r="L32" i="2"/>
  <c r="N32" i="2"/>
  <c r="K32" i="2"/>
  <c r="O32" i="2"/>
  <c r="O14" i="2"/>
  <c r="L14" i="2"/>
  <c r="N14" i="2"/>
  <c r="K14" i="2"/>
  <c r="O21" i="2"/>
  <c r="K21" i="2"/>
  <c r="N21" i="2"/>
  <c r="L21" i="2"/>
  <c r="K35" i="2"/>
  <c r="O35" i="2"/>
  <c r="N35" i="2"/>
  <c r="L35" i="2"/>
  <c r="K30" i="2"/>
  <c r="N30" i="2"/>
  <c r="L30" i="2"/>
  <c r="O30" i="2"/>
  <c r="L46" i="2"/>
  <c r="N46" i="2"/>
  <c r="K46" i="2"/>
  <c r="O46" i="2"/>
  <c r="O57" i="2"/>
  <c r="K57" i="2"/>
  <c r="L57" i="2"/>
  <c r="N57" i="2"/>
  <c r="O36" i="2"/>
  <c r="L36" i="2"/>
  <c r="N36" i="2"/>
  <c r="K36" i="2"/>
  <c r="O42" i="2"/>
  <c r="N42" i="2"/>
  <c r="L42" i="2"/>
  <c r="K42" i="2"/>
  <c r="O33" i="2"/>
  <c r="K33" i="2"/>
  <c r="L33" i="2"/>
  <c r="N33" i="2"/>
  <c r="O18" i="2"/>
  <c r="N18" i="2"/>
  <c r="L18" i="2"/>
  <c r="K18" i="2"/>
  <c r="L16" i="2"/>
  <c r="O16" i="2"/>
  <c r="K16" i="2"/>
  <c r="N16" i="2"/>
  <c r="O13" i="2"/>
  <c r="L13" i="2"/>
  <c r="K13" i="2"/>
  <c r="N13" i="2"/>
  <c r="K27" i="2"/>
  <c r="O27" i="2"/>
  <c r="L27" i="2"/>
  <c r="N27" i="2"/>
  <c r="D13" i="37" l="1"/>
  <c r="E13" i="37"/>
  <c r="C31" i="37"/>
  <c r="C28" i="37"/>
  <c r="C29" i="37"/>
  <c r="C32" i="37"/>
  <c r="C34" i="37" s="1"/>
  <c r="D19" i="37"/>
  <c r="F19" i="37"/>
  <c r="G20" i="37"/>
  <c r="F20" i="37"/>
  <c r="H19" i="37"/>
  <c r="H20" i="37"/>
  <c r="G19" i="37"/>
  <c r="D20" i="37"/>
  <c r="E20" i="37"/>
  <c r="E19" i="37"/>
  <c r="G12" i="37"/>
  <c r="F11" i="37"/>
  <c r="F22" i="37" s="1"/>
  <c r="D12" i="37"/>
  <c r="D23" i="37" s="1"/>
  <c r="E12" i="37"/>
  <c r="E23" i="37" s="1"/>
  <c r="G11" i="37"/>
  <c r="G22" i="37" s="1"/>
  <c r="H11" i="37"/>
  <c r="H22" i="37" s="1"/>
  <c r="D11" i="37"/>
  <c r="D22" i="37" s="1"/>
  <c r="E11" i="37"/>
  <c r="E22" i="37" s="1"/>
  <c r="H12" i="37"/>
  <c r="H23" i="37" s="1"/>
  <c r="F12" i="37"/>
  <c r="F23" i="37" s="1"/>
  <c r="C12" i="37"/>
  <c r="C23" i="37"/>
  <c r="C49" i="37" l="1"/>
  <c r="C46" i="37"/>
  <c r="C47" i="37"/>
  <c r="C33" i="37"/>
  <c r="D21" i="37"/>
  <c r="C48" i="37" s="1"/>
  <c r="H14" i="37"/>
  <c r="H25" i="37" s="1"/>
  <c r="F14" i="37"/>
  <c r="F25" i="37" s="1"/>
  <c r="G14" i="37"/>
  <c r="G25" i="37" s="1"/>
  <c r="D14" i="37"/>
  <c r="D25" i="37" s="1"/>
  <c r="G23" i="37"/>
  <c r="H24" i="37"/>
  <c r="E14" i="37"/>
  <c r="E25" i="37" s="1"/>
  <c r="D24" i="37"/>
  <c r="F24" i="37"/>
  <c r="G24" i="37"/>
  <c r="E24" i="37"/>
  <c r="S13" i="37" l="1"/>
  <c r="C36" i="37"/>
  <c r="C50" i="37"/>
  <c r="B9" i="39" s="1"/>
  <c r="C53" i="37" l="1"/>
  <c r="B11" i="39"/>
  <c r="C51" i="37"/>
  <c r="F64" i="39" l="1"/>
  <c r="F65" i="39" s="1"/>
  <c r="C73" i="39" l="1"/>
  <c r="F73" i="39"/>
  <c r="F75" i="39" s="1"/>
  <c r="C78" i="39"/>
  <c r="D73" i="39"/>
  <c r="D75" i="39" s="1"/>
  <c r="C83" i="39"/>
  <c r="E83" i="39"/>
  <c r="E85" i="39" s="1"/>
  <c r="C88" i="39"/>
  <c r="F88" i="39"/>
  <c r="F83" i="39"/>
  <c r="F85" i="39" s="1"/>
  <c r="D78" i="39"/>
  <c r="D80" i="39" s="1"/>
  <c r="D88" i="39"/>
  <c r="E73" i="39"/>
  <c r="E75" i="39" s="1"/>
  <c r="E78" i="39"/>
  <c r="E80" i="39" s="1"/>
  <c r="D83" i="39"/>
  <c r="D85" i="39" s="1"/>
  <c r="F78" i="39"/>
  <c r="F80" i="39" s="1"/>
  <c r="E88" i="39"/>
  <c r="E93" i="39" l="1"/>
  <c r="E95" i="39" s="1"/>
  <c r="E90" i="39"/>
  <c r="G88" i="39"/>
  <c r="G90" i="39" s="1"/>
  <c r="C93" i="39"/>
  <c r="C90" i="39"/>
  <c r="F93" i="39"/>
  <c r="F95" i="39" s="1"/>
  <c r="F90" i="39"/>
  <c r="D93" i="39"/>
  <c r="D95" i="39" s="1"/>
  <c r="D90" i="39"/>
  <c r="G78" i="39"/>
  <c r="G80" i="39" s="1"/>
  <c r="C80" i="39"/>
  <c r="G83" i="39"/>
  <c r="G85" i="39" s="1"/>
  <c r="C85" i="39"/>
  <c r="G73" i="39"/>
  <c r="G75" i="39" s="1"/>
  <c r="C75" i="39"/>
  <c r="C95" i="39" l="1"/>
  <c r="G93" i="39"/>
  <c r="G95" i="39" s="1"/>
  <c r="G96" i="39" s="1"/>
  <c r="C42" i="37"/>
  <c r="C43" i="37" s="1"/>
</calcChain>
</file>

<file path=xl/sharedStrings.xml><?xml version="1.0" encoding="utf-8"?>
<sst xmlns="http://schemas.openxmlformats.org/spreadsheetml/2006/main" count="3101" uniqueCount="702">
  <si>
    <t>Day -x to -y</t>
  </si>
  <si>
    <t>Day 0</t>
  </si>
  <si>
    <t>Screen</t>
  </si>
  <si>
    <t>Base</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</si>
  <si>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</si>
  <si>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</si>
  <si>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</si>
  <si>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</si>
  <si>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</si>
  <si>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</si>
  <si>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</si>
  <si>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</si>
  <si>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</si>
  <si>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</si>
  <si>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</si>
  <si>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</si>
  <si>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</si>
  <si>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</si>
  <si>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</si>
  <si>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</si>
  <si>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</si>
  <si>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Visit 18</t>
  </si>
  <si>
    <t>Visit 19</t>
  </si>
  <si>
    <t>Visit 20</t>
  </si>
  <si>
    <t>Visit 21</t>
  </si>
  <si>
    <t>Visit 22</t>
  </si>
  <si>
    <t>Visit 23</t>
  </si>
  <si>
    <t>Visit 24</t>
  </si>
  <si>
    <t>Visit 25</t>
  </si>
  <si>
    <t>Visit x</t>
  </si>
  <si>
    <t>Consent for Genetic Sample</t>
  </si>
  <si>
    <t>Medical history</t>
  </si>
  <si>
    <t xml:space="preserve">Blood sample - collection only </t>
  </si>
  <si>
    <t>Blood sample - collection processing</t>
  </si>
  <si>
    <t>Specimen Dispatch by post/courier</t>
  </si>
  <si>
    <t>Vital Signs measurements (Temp, BP, Pulse and respiration)</t>
  </si>
  <si>
    <t>Weight &amp; Height (including BMI if required)</t>
  </si>
  <si>
    <t>Waist and Hip Circumference</t>
  </si>
  <si>
    <t xml:space="preserve">Blood pressure (only) </t>
  </si>
  <si>
    <t>Physical examination</t>
  </si>
  <si>
    <t>Urinalysis - Urine collection only (at clinic)</t>
  </si>
  <si>
    <t>Urinalysis - Urine processing (dipstick or sample preparation)</t>
  </si>
  <si>
    <t>Spirometry</t>
  </si>
  <si>
    <t>Randomisation (manual, IVRS or IWRS)</t>
  </si>
  <si>
    <t>Instructions/education for patient and/or care giver</t>
  </si>
  <si>
    <t>Subject Questionnaire</t>
  </si>
  <si>
    <t>Review Questionnaire</t>
  </si>
  <si>
    <t>Concomitant medication check (at screening)</t>
  </si>
  <si>
    <t>Concomitant medication check (on study)</t>
  </si>
  <si>
    <t>Administer study drug in clinic</t>
  </si>
  <si>
    <t>Dispense diaries and instruct</t>
  </si>
  <si>
    <t>Collect and review diaries</t>
  </si>
  <si>
    <t>Drug accountability and compliance</t>
  </si>
  <si>
    <t>CRF/eCRF completion including data transfer and query resolution</t>
  </si>
  <si>
    <t>Review/reporting of patient AEs/SAEs</t>
  </si>
  <si>
    <t>Handover to routine care (End of Trial)</t>
  </si>
  <si>
    <t>Device calibration / alteration of mechanical device settings and monitoring</t>
  </si>
  <si>
    <t>Dissemination of study results to participants</t>
  </si>
  <si>
    <t>24 hour Cardio memo/ cardio diary</t>
  </si>
  <si>
    <t>24 hour Holter monitoring with interpretation</t>
  </si>
  <si>
    <t>24 hour Holter monitoring without interpretation</t>
  </si>
  <si>
    <t>Biochemistry Profile - Basic</t>
  </si>
  <si>
    <t>Biochemistry Profile - Full</t>
  </si>
  <si>
    <t xml:space="preserve">Biochemistry Profile - Lipid Panel </t>
  </si>
  <si>
    <t>Biochemistry Profile - Liver Function Test</t>
  </si>
  <si>
    <t>Biochemistry Profile - Thyroid Function Tests</t>
  </si>
  <si>
    <t>Biopsy of Bone marrow</t>
  </si>
  <si>
    <t>Biopsy of muscle</t>
  </si>
  <si>
    <t>Biopsy of skin</t>
  </si>
  <si>
    <t>Bone and/or joint imaging</t>
  </si>
  <si>
    <t>Central I.V. Line</t>
  </si>
  <si>
    <t>Copy of imaging investigation</t>
  </si>
  <si>
    <t>CT Scan complex with contrast</t>
  </si>
  <si>
    <t xml:space="preserve">CT Scan with contrast </t>
  </si>
  <si>
    <t xml:space="preserve">CT Scan without contrast </t>
  </si>
  <si>
    <t>RECIST Premium on Standard (per scan)</t>
  </si>
  <si>
    <t>DEXA, BM, DXA</t>
  </si>
  <si>
    <t>ECG no report</t>
  </si>
  <si>
    <t>ECG with report</t>
  </si>
  <si>
    <t>Endoscopy - no biopsy</t>
  </si>
  <si>
    <t>Endoscopy - simple - no biopsy</t>
  </si>
  <si>
    <t>Endoscopy with biopsy</t>
  </si>
  <si>
    <t>INR</t>
  </si>
  <si>
    <t>IVUS</t>
  </si>
  <si>
    <t>MRI more than one area with contrast</t>
  </si>
  <si>
    <t>MRI single area with contrast</t>
  </si>
  <si>
    <t>MRI single area, no contrast</t>
  </si>
  <si>
    <t>MUGA RNV</t>
  </si>
  <si>
    <t>Transthoracic ECHO</t>
  </si>
  <si>
    <t>Ultrasound 1with report</t>
  </si>
  <si>
    <t>Ultrasound 2 with report</t>
  </si>
  <si>
    <t>Ultrasound 3 with report</t>
  </si>
  <si>
    <t>Ultrasound 4 with report</t>
  </si>
  <si>
    <t>X-ray multiple views with report</t>
  </si>
  <si>
    <t>X-ray single view with report</t>
  </si>
  <si>
    <t>X-ray -spine or bone with report</t>
  </si>
  <si>
    <t>Completion of remote monitoring form</t>
  </si>
  <si>
    <t>Attend monitoring visit (PI)</t>
  </si>
  <si>
    <t>Attend monitoring visit (Research Nurse)</t>
  </si>
  <si>
    <t>Site Initiation Visit</t>
  </si>
  <si>
    <t>Attendance at training</t>
  </si>
  <si>
    <t>Pharmacy</t>
  </si>
  <si>
    <t>Aseptic dispensing agent time</t>
  </si>
  <si>
    <t>Controlled drug - additional dispensing time</t>
  </si>
  <si>
    <t>Pharmacy arrangement of IMP delivery or posting preparation time to the patient</t>
  </si>
  <si>
    <t>Individual patient drug accountability time</t>
  </si>
  <si>
    <t xml:space="preserve">Bone and/or joint imaging, bone scan, bone scintigraphy, whole body: Includes the technical and professional components (reading) </t>
  </si>
  <si>
    <t>Troponin, quantitative; Cardiac Troponin I (cTnI), Cardiac Troponin T (cTnT)</t>
  </si>
  <si>
    <t>Copy of imaging investigation on CD/DVD/Film</t>
  </si>
  <si>
    <t xml:space="preserve">Computerized axial tomography,  (Cat Scan) (CT Scan); Complex, multi area with contrast material : Includes the technical and professional components (reading) . </t>
  </si>
  <si>
    <t xml:space="preserve">Computerized axial tomography,  (Cat Scan) (CT Scan); with contrast material. Includes the technical and professional components (reading) . </t>
  </si>
  <si>
    <t xml:space="preserve">Computerized axial tomography,  (Cat Scan) (CT Scan); without contrast material. Includes the technical and professional components (reading) . </t>
  </si>
  <si>
    <t>Electrocardiogram, routine 12 lead ECG, Tracing only</t>
  </si>
  <si>
    <t xml:space="preserve">Upper gastrointestinal endoscopy diagnostic including oesophagus, stomach, and either the duodenum and/or jejunum as appropriate </t>
  </si>
  <si>
    <t>Upper gastrointestinal endoscopy including oesophagus, stomach, and either the duodenum and/or jejunum as appropriate; simple primary examination</t>
  </si>
  <si>
    <t>Upper gastrointestinal endoscopy including oesophagus, oesophagus, stomach, and either the duodenum and/or jejunum as appropriate; with biopsy</t>
  </si>
  <si>
    <t>Glucose; blood, serum, reagent strip, finger stick test</t>
  </si>
  <si>
    <t>Glucose tolerance test (GTT) (OGTT)</t>
  </si>
  <si>
    <t>Intravascular ultrasound (non-coronary vessel) during diagnostic evaluation and/or therapeutic intervention (IVUS)</t>
  </si>
  <si>
    <t>Magnetic resonance imaging, (MRI); with contrast material(s) more than one area (e.g. chest &amp; abdo, abdo &amp; pelvis). Includes the technical and professional components (reading)</t>
  </si>
  <si>
    <t>Urine Drug screen (UDS)</t>
  </si>
  <si>
    <t xml:space="preserve">Ultrasound, (echography) (uls); B-scan:  chest, extremities, non-vascular, soft tissues (head &amp; neck). Includes the technical and professional components (reading) </t>
  </si>
  <si>
    <t>Ultrasound, retroperitoneal (e.g., renal, aorta, kidney, spleen, gallbladder) (echography) (uls); peripheral vascular system real time with image documentation. Includes the technical and professional components (reading).</t>
  </si>
  <si>
    <t xml:space="preserve">Ultrasound, transrectal, prostate (echography) (uls). Includes the technical and professional components (reading) </t>
  </si>
  <si>
    <t xml:space="preserve">Ultrasound, transvaginal, vaginal probe ultrasonography (TVUS) (echography) (uls): Includes the technical and professional components (reading) </t>
  </si>
  <si>
    <t>Radiologic examination, (X-Ray); multiple views.  Includes the technical and professional components (reading)</t>
  </si>
  <si>
    <t>Radiologic examination, (X-Ray); single view.  Includes the technical and professional components (reading)</t>
  </si>
  <si>
    <t>Radiologic examination (X-Ray); spine or bone survey.  Includes the technical and professional components (reading)</t>
  </si>
  <si>
    <t>Laboratory_Tests_and_Investigations</t>
  </si>
  <si>
    <t>Other_Tests_and_Investigations</t>
  </si>
  <si>
    <t>Medical_Exposure_or_Imaging_Tests_and_Investigations</t>
  </si>
  <si>
    <t>Interventions_clinical</t>
  </si>
  <si>
    <t>Interventions_non_clinical</t>
  </si>
  <si>
    <t>Other_Procedures_or_Activities</t>
  </si>
  <si>
    <t>Area_of_Activity_for_each_participant</t>
  </si>
  <si>
    <t>Study_Close_Down</t>
  </si>
  <si>
    <t>Study_Monitoring</t>
  </si>
  <si>
    <t>Study_Set_Up</t>
  </si>
  <si>
    <t>Area_of_Activity_study_in_general</t>
  </si>
  <si>
    <t>Database search</t>
  </si>
  <si>
    <t xml:space="preserve">Eligibility check (exclusions) </t>
  </si>
  <si>
    <t>Area of Activity</t>
  </si>
  <si>
    <t>Specific Activity</t>
  </si>
  <si>
    <t>Study Monitoring</t>
  </si>
  <si>
    <t>Activities Relating to each participant</t>
  </si>
  <si>
    <t>Laboratory Tests and Investigations</t>
  </si>
  <si>
    <t>Other Tests and Investigations</t>
  </si>
  <si>
    <t>Research Cost (Part A)</t>
  </si>
  <si>
    <t>Research Cost (Part B)</t>
  </si>
  <si>
    <t>Service Support Cost</t>
  </si>
  <si>
    <t>Treatment Cost</t>
  </si>
  <si>
    <t>Excess Treatment Cost</t>
  </si>
  <si>
    <t>ACTIVITIES (schedule of events tab columns E to AF)</t>
  </si>
  <si>
    <t>Person responsible (Local Information)</t>
  </si>
  <si>
    <t>Local Principal Investigator</t>
  </si>
  <si>
    <t>Local Collaborator</t>
  </si>
  <si>
    <t>Chief Investigator (central study team)</t>
  </si>
  <si>
    <t>Definition or description</t>
  </si>
  <si>
    <t>Participant_Consent_Procedures</t>
  </si>
  <si>
    <t>General_Areas of Activity</t>
  </si>
  <si>
    <t>Study Set Up</t>
  </si>
  <si>
    <t>Study Close Down</t>
  </si>
  <si>
    <t>Participant Consent Procedures</t>
  </si>
  <si>
    <t>Medical Exposure or Imaging Tests and Investigations</t>
  </si>
  <si>
    <t>Interventions clinical</t>
  </si>
  <si>
    <t>Interventions non clinical</t>
  </si>
  <si>
    <t>Consent Processes</t>
  </si>
  <si>
    <t>All Site Activities</t>
  </si>
  <si>
    <t>Participant Identification Centre</t>
  </si>
  <si>
    <t>Recruiting Site</t>
  </si>
  <si>
    <t>Shared Care Site</t>
  </si>
  <si>
    <t>Follow-Up Site</t>
  </si>
  <si>
    <t>Other (please specify below)</t>
  </si>
  <si>
    <r>
      <t>2. Short Study Title</t>
    </r>
    <r>
      <rPr>
        <sz val="11"/>
        <color theme="1"/>
        <rFont val="Arial"/>
        <family val="2"/>
      </rPr>
      <t>:</t>
    </r>
  </si>
  <si>
    <t>IRAS Reference Number:</t>
  </si>
  <si>
    <t>Site Type (study information tab row 3)</t>
  </si>
  <si>
    <t>Overnight Stay</t>
  </si>
  <si>
    <t xml:space="preserve">Dispensing time for standard agent or IMP/NIMP (excluding use of IVR/IWR) </t>
  </si>
  <si>
    <t>Prescription charge (English sites only)</t>
  </si>
  <si>
    <t>Re-labelling and releasing of IMP batch (Usual staff hourly rate)</t>
  </si>
  <si>
    <t>Non-standard reporting of or additional company requested stock or temperature checks (Usual staff hourly rate)</t>
  </si>
  <si>
    <t>IMP release by Qualified Person (QP), if required (QP actual hourly rate)</t>
  </si>
  <si>
    <t>Activity</t>
  </si>
  <si>
    <t>Procedure</t>
  </si>
  <si>
    <t>Investigation</t>
  </si>
  <si>
    <t>ActivityType</t>
  </si>
  <si>
    <t>Role</t>
  </si>
  <si>
    <t>Per-minute cost</t>
  </si>
  <si>
    <t>Calculated Activity Cost</t>
  </si>
  <si>
    <t>Any additional columns must be added to the left of this column.</t>
  </si>
  <si>
    <t>Mail-out</t>
  </si>
  <si>
    <t>Per participant Standard of Care total</t>
  </si>
  <si>
    <t>Include in Standard of Care</t>
  </si>
  <si>
    <t>x</t>
  </si>
  <si>
    <t>Total cost per Activity</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</si>
  <si>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</si>
  <si>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</si>
  <si>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</si>
  <si>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</si>
  <si>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</si>
  <si>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</si>
  <si>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</si>
  <si>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</si>
  <si>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</si>
  <si>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</si>
  <si>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</si>
  <si>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</si>
  <si>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</si>
  <si>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</si>
  <si>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</si>
  <si>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</si>
  <si>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</si>
  <si>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</si>
  <si>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</si>
  <si>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</si>
  <si>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</si>
  <si>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</si>
  <si>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</si>
  <si>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</si>
  <si>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</si>
  <si>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</si>
  <si>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Participant Costs (Per Patient)</t>
  </si>
  <si>
    <t>Difference</t>
  </si>
  <si>
    <t>4. Funder Name</t>
  </si>
  <si>
    <t>5. Number of Study Arms</t>
  </si>
  <si>
    <t>6. Chief Investigator Name</t>
  </si>
  <si>
    <t xml:space="preserve"> Investigations or Procedures to be manually added</t>
  </si>
  <si>
    <t>Part_B_Question</t>
  </si>
  <si>
    <t>Other Procedures or Activities</t>
  </si>
  <si>
    <t>Activity Look Up - Procedure or Investigation (Hidden column)</t>
  </si>
  <si>
    <t>Complete only for procedures</t>
  </si>
  <si>
    <t>Cost (IF INVESTIGATION)</t>
  </si>
  <si>
    <r>
      <t>IRAS Reference Number</t>
    </r>
    <r>
      <rPr>
        <sz val="11"/>
        <color theme="1"/>
        <rFont val="Arial"/>
        <family val="2"/>
      </rPr>
      <t>:</t>
    </r>
  </si>
  <si>
    <t>Site Set Up</t>
  </si>
  <si>
    <t>On Trial</t>
  </si>
  <si>
    <t>Non Tariff Cost</t>
  </si>
  <si>
    <t>Close site to recruitment</t>
  </si>
  <si>
    <t>Site close out</t>
  </si>
  <si>
    <t>LCRN</t>
  </si>
  <si>
    <t>East Midlands</t>
  </si>
  <si>
    <t>Eastern</t>
  </si>
  <si>
    <t>Greater Manchester</t>
  </si>
  <si>
    <t>Kent, Surrey and Sussex</t>
  </si>
  <si>
    <t>North East and North Cumbria</t>
  </si>
  <si>
    <t>North Thames</t>
  </si>
  <si>
    <t>North West Coast</t>
  </si>
  <si>
    <t>North West London</t>
  </si>
  <si>
    <t>South London</t>
  </si>
  <si>
    <t>South West Peninsula</t>
  </si>
  <si>
    <t>Thames Valley and South Midlands</t>
  </si>
  <si>
    <t>Wessex</t>
  </si>
  <si>
    <t>West Midlands</t>
  </si>
  <si>
    <t>West of England</t>
  </si>
  <si>
    <t>Yorkshire and Humber</t>
  </si>
  <si>
    <t>1. IRAS Reference Number:</t>
  </si>
  <si>
    <t>Guidance for attribution costs of health and social care (external website)</t>
  </si>
  <si>
    <t>Informed consent</t>
  </si>
  <si>
    <t>Monitoring on-site visits or risk/remote based monitoring communication</t>
  </si>
  <si>
    <t>ALT</t>
  </si>
  <si>
    <t>Amylase</t>
  </si>
  <si>
    <t>Antibiotic assay</t>
  </si>
  <si>
    <t>APTT</t>
  </si>
  <si>
    <t>ASO</t>
  </si>
  <si>
    <t>Bence Jones 24 hr Urine</t>
  </si>
  <si>
    <t>Beta2 Microglobulin</t>
  </si>
  <si>
    <t>Bicarbonate (Total CO2)</t>
  </si>
  <si>
    <t>BNP</t>
  </si>
  <si>
    <t>Bone Profile</t>
  </si>
  <si>
    <t>CA125</t>
  </si>
  <si>
    <t>CA15-3</t>
  </si>
  <si>
    <t>CA19-9</t>
  </si>
  <si>
    <t>Cardiac Enzymes</t>
  </si>
  <si>
    <t>CD20</t>
  </si>
  <si>
    <t>CD4</t>
  </si>
  <si>
    <t>CEA</t>
  </si>
  <si>
    <t>Chlamydia detection</t>
  </si>
  <si>
    <t>Chlamydia serology</t>
  </si>
  <si>
    <t>Chloride</t>
  </si>
  <si>
    <t>Cholesterol</t>
  </si>
  <si>
    <t>Clotting for line insertion</t>
  </si>
  <si>
    <t>Cortisol</t>
  </si>
  <si>
    <t>Creatine Kinase (CK)</t>
  </si>
  <si>
    <t>Creatinine Clearance</t>
  </si>
  <si>
    <t>CRP</t>
  </si>
  <si>
    <t>D. Dimer</t>
  </si>
  <si>
    <t>Direct Bilirubin</t>
  </si>
  <si>
    <t>EPS and paraprotein</t>
  </si>
  <si>
    <t>Faecal Occult Blood</t>
  </si>
  <si>
    <t>Full Blood Count (FBC/CBC)</t>
  </si>
  <si>
    <t>Fibrinogen</t>
  </si>
  <si>
    <t>Free T4</t>
  </si>
  <si>
    <t>FSH</t>
  </si>
  <si>
    <t>Handling charge for samples sent away</t>
  </si>
  <si>
    <t>Hep A</t>
  </si>
  <si>
    <t>Hep B vaccine Ab status</t>
  </si>
  <si>
    <t>Hep C confirmation</t>
  </si>
  <si>
    <t>Hep C screen</t>
  </si>
  <si>
    <t>hCG</t>
  </si>
  <si>
    <t>HIV</t>
  </si>
  <si>
    <t>Human Growth Hormone (HGH)</t>
  </si>
  <si>
    <t>Immunofixation (serum)</t>
  </si>
  <si>
    <t>Immunofixation (urine)</t>
  </si>
  <si>
    <t>Immunoglobulins (G,A,M)</t>
  </si>
  <si>
    <t>Iron</t>
  </si>
  <si>
    <t>Legionella Ab</t>
  </si>
  <si>
    <t>LH</t>
  </si>
  <si>
    <t>Magnesium</t>
  </si>
  <si>
    <t>Oestradiol</t>
  </si>
  <si>
    <t>Osmolality</t>
  </si>
  <si>
    <t>Paraprotein measurement (Densitometry)</t>
  </si>
  <si>
    <t>PCR - viral</t>
  </si>
  <si>
    <t>Progesterone</t>
  </si>
  <si>
    <t>Prolactin</t>
  </si>
  <si>
    <t>PSA</t>
  </si>
  <si>
    <t>PT</t>
  </si>
  <si>
    <t>PTH</t>
  </si>
  <si>
    <t>Quantitative PCR</t>
  </si>
  <si>
    <t>Reticulocyte</t>
  </si>
  <si>
    <t>Serum Electropheresis (EPS)</t>
  </si>
  <si>
    <t>Serum pregnancy</t>
  </si>
  <si>
    <t>Sputum</t>
  </si>
  <si>
    <t>Sputum complex</t>
  </si>
  <si>
    <t>T Cell count</t>
  </si>
  <si>
    <t>T3</t>
  </si>
  <si>
    <t>T3, T4, TSH</t>
  </si>
  <si>
    <t>T4</t>
  </si>
  <si>
    <t>TB culture</t>
  </si>
  <si>
    <t>TBG and Free T4</t>
  </si>
  <si>
    <t>Testosterone</t>
  </si>
  <si>
    <t>Throat swab</t>
  </si>
  <si>
    <t>Thrombin time</t>
  </si>
  <si>
    <t>Total T3</t>
  </si>
  <si>
    <t>Toxoplasma Ab</t>
  </si>
  <si>
    <t>Transferrin/TIBC</t>
  </si>
  <si>
    <t>Triglyceride</t>
  </si>
  <si>
    <t>TSH</t>
  </si>
  <si>
    <t>U&amp;E</t>
  </si>
  <si>
    <t>Uric Acid</t>
  </si>
  <si>
    <t>Urinalysis by dip stick</t>
  </si>
  <si>
    <t>Urine Culture</t>
  </si>
  <si>
    <t>Virus detection and isolation</t>
  </si>
  <si>
    <t>Wound swab</t>
  </si>
  <si>
    <t>Menu</t>
  </si>
  <si>
    <t xml:space="preserve">General </t>
  </si>
  <si>
    <t>Per Participnat</t>
  </si>
  <si>
    <t>Archiving (single box fee)</t>
  </si>
  <si>
    <t>Research Cost</t>
  </si>
  <si>
    <t>Number of Participants in Arm 2</t>
  </si>
  <si>
    <t>Number of Participants in Arm 3</t>
  </si>
  <si>
    <t>Number of Participants in Arm 4</t>
  </si>
  <si>
    <t>Number of Participants in Arm 5</t>
  </si>
  <si>
    <t>Number of Participants in Arm 1</t>
  </si>
  <si>
    <t>Standard of Care</t>
  </si>
  <si>
    <t>Arm 1</t>
  </si>
  <si>
    <t>Arm 2</t>
  </si>
  <si>
    <t>Arm 3</t>
  </si>
  <si>
    <t>Arm 4</t>
  </si>
  <si>
    <t>Arm 5</t>
  </si>
  <si>
    <t>Total Participant Costs</t>
  </si>
  <si>
    <t>Number of Participants</t>
  </si>
  <si>
    <t>Standard of Care (all arms)</t>
  </si>
  <si>
    <t>Nurse time refers to the study being discussed with the patient prior to consent and signature which is represented by the Clinical (Doctor) time.  Nurse time will include the patients being informed of their rights (informed consent process according to GCP guidelines), preliminary reviews of inclusion/exclusion criteria, concomitant medications and medical (with condition history if applicable) and previous laboratory test results if appropriate (please note that these reviews may/will also be conducted by the doctor at the screening visits).  Times allocated are dependent on complexity of study and the patient group (cognitive level) and the following time are provided as initial guidance only: From 30 mins for simple complexity (Observational, Genetic databases), From 45 mins medium complexity (majority of types of studies), From 60 mins complex (e.g. monoclonal studies), From 15 mins ADDITIONAL time if patient population requires (e.g. level of cognitive function).  Other considerations which may require additional time includes: Pre-screen checks, pre-screen discussion with patient (nurse and PI or referring consultant), handling patient call query when reviewing information, attendance at Screening visit with further questions, the Caregiver or family members may have queries, which may be more common for patient home visits or inclusion of genetic sample requirements. Re-consenting patients following protocol amendment may be required and could be included as an Additional Itemised Cost line item to enable invoicing as required.</t>
  </si>
  <si>
    <t>Nurse time refers to the implications of genetic sampling being discussed with the patient prior to consent for this procedure as a standalone consent.</t>
  </si>
  <si>
    <t>May include other information covering demographics, concomitant illnesses or inclusion/exclusion related questions.
For some conditions, further information maybe needed around previous treatments or condition history e.g. Diabetes, oncology, Alzheimer's Disease which may require more time to be included.  This could add from 15 mins Clinical time and from 60 mins nurse time depending on requirements and whether discussion have been part of informed consent process</t>
  </si>
  <si>
    <t>Definition</t>
  </si>
  <si>
    <t>Activity Type</t>
  </si>
  <si>
    <t xml:space="preserve">Prescription for study </t>
  </si>
  <si>
    <t>Blood culture</t>
  </si>
  <si>
    <t>Cl. Difficile</t>
  </si>
  <si>
    <t>Coombs Test</t>
  </si>
  <si>
    <t>Electrophoresis (EPS)</t>
  </si>
  <si>
    <t>Faeces culture</t>
  </si>
  <si>
    <t>Genital swab</t>
  </si>
  <si>
    <t>Glucose</t>
  </si>
  <si>
    <t>HDL-Cholesterol</t>
  </si>
  <si>
    <t>Hepatitis C antibody (HCVab) (anti-HCV)</t>
  </si>
  <si>
    <t>IGF-1</t>
  </si>
  <si>
    <t>Iron Stain</t>
  </si>
  <si>
    <t>Manual differential</t>
  </si>
  <si>
    <t>Other Bacteriology (incl. Mycology)</t>
  </si>
  <si>
    <t>Prothrombin time</t>
  </si>
  <si>
    <t>Rubella IgG/IgM</t>
  </si>
  <si>
    <t xml:space="preserve">Serology non-viral </t>
  </si>
  <si>
    <t>Thyroglobulin/TG auto Ab</t>
  </si>
  <si>
    <t>Troponin I</t>
  </si>
  <si>
    <t>Troponin T</t>
  </si>
  <si>
    <t>Urine pregnancy, chorionic gonadotropin  (hCG) (BetahCG); qualitative</t>
  </si>
  <si>
    <t>Advanced therapy - additional preparation time [where relevant]</t>
  </si>
  <si>
    <r>
      <t xml:space="preserve">Use of IVR/IWR system </t>
    </r>
    <r>
      <rPr>
        <b/>
        <u/>
        <sz val="11"/>
        <rFont val="Arial"/>
        <family val="2"/>
      </rPr>
      <t xml:space="preserve">for dispensing by Pharmacy </t>
    </r>
    <r>
      <rPr>
        <u/>
        <sz val="11"/>
        <rFont val="Arial"/>
        <family val="2"/>
      </rPr>
      <t>(additional time)</t>
    </r>
  </si>
  <si>
    <t>Individual training sessions for handling and preparation of study advanced therapy/radiopharmaceutical (usual staff hourly rate)</t>
  </si>
  <si>
    <t>Courier/ posting costs for IMPs (third party costs as required e.g. per patient, sponsor returns)</t>
  </si>
  <si>
    <t>Blood sample collection processing only (EXCLUDES collection - this is a separate line item).  Times to be adjusted as per processing requirements in the protocol.  The separate Specimen dispatch item should be selected if using off-site lab (e.g. central lab).  May need to consider time adjustments when collection is outside of normal working hours (e.g. access restrictions). Where applicable ensure investigator time is included for sign-off.  May be required for pregnancy test (serum hCG at local or central lab) - amend descriptive text to show inclusion as required.</t>
  </si>
  <si>
    <t>Time for staff to package specimens to confirm to appropriate UN Packing standard, arrangement of courier and associated paperwork.  Separate line items enables reflective of batch couriering for patient samples if possible.</t>
  </si>
  <si>
    <t>Covering Temperature, blood pressure, pulse rate and respiration rate</t>
  </si>
  <si>
    <t>Additional time may be required if patient has mobility or disability which requires transfer from wheelchair and back or support requirements during measurement.  Time may vary depending on equipment or BMI calculation method required by protocol.</t>
  </si>
  <si>
    <t>Waist and Hip Circumference measurement</t>
  </si>
  <si>
    <t>Line item for use when measurement is performed independently of the vital signs assessments.  Time is dependent on specific instructions</t>
  </si>
  <si>
    <t>Timings assume patient without a condition that would result in requiring additional time e.g.. mobility problems
Nurse may need follow up by contacting GP  or other consultants for results of previous tests.
May require different examinations e.g. eye examinations by fundoscopy (5min clinical time) for diabetic patients which would be helpful to list in procedure description to aid review</t>
  </si>
  <si>
    <t>Time allocated covers sample collection only.  Processing of sample is included as a separate line item.  Time value may need adjustment to include time for support for patient to get on/off the toilet if required.  May be required for pregnancy test.</t>
  </si>
  <si>
    <t>Processing of collected Urine (e.g. volume measurement, acidification, centrifugation, transfer of containers) for lab investigations. Processing time may be adjusted to reflect the processing requirements of the protocol including sending off a culture and sensitivity to local labs and following up results.  Associated investigation cost may also be required.  May be required for pregnancy test.</t>
  </si>
  <si>
    <t>Includes preparation, use and cleaning of spirometer equipment and standard consumables for investigation</t>
  </si>
  <si>
    <t>Randomisation charge per requirement includes allocation of subject number and may be up to 60 mins for oncology studies.  Line item is charged per dial in requirement where applicable.  Note some studies may require dual dial-in e.g. Pharmacy then clinical staff.  Time shown should be adjust to reflect average time required for randomisation.  Review of randomisation criteria after run-in period may also be required.</t>
  </si>
  <si>
    <t>Explaining study procedures to patient and/or care giver, discussion around drug regimen and SAEs.</t>
  </si>
  <si>
    <t>Variable depending on questionnaire required</t>
  </si>
  <si>
    <t xml:space="preserve">Variable depending on questionnaire completed </t>
  </si>
  <si>
    <t>Complex PD drug regimes may require this procedure</t>
  </si>
  <si>
    <t xml:space="preserve">Variable time depending on study drug administration method required by the protocol.  Time should include clinical preparation, administration of study drug and observation. </t>
  </si>
  <si>
    <t>Clinical staff responsibility (should not be duplicated with Pharmacy)</t>
  </si>
  <si>
    <t xml:space="preserve">Variable time depending on amount and type of data collected per visit e.g. complex visit (e.g. Screening or End-of-Study), standard visit or simple visit (e.g. logging phone contact/survival).
A time per page to complete approach could be used to calculate actually time needed.
Clinicians are usually required to sign off (especially lab results and eCRFs) so clinical time should always be considered.
Time includes data query resolution time: calculation of time may require an assumption for the number of queries per patient
If required, time should be adjusted to include transfer of patient note information into a Case Report Form (CRF), Electronic Data Capture (EDC) system or and electronic CRF (eCRF) which may include
- transcribing into hospital notes and the hospital electronic patient system (if applicable) from one of the sources above 
- transcribing and reporting of diaries, questionnaires, profiles and titrations.
</t>
  </si>
  <si>
    <t>Time allocated per AE/SAE so may require an assumption for the number of AE/SAE per patient or inclusion in the 'Additional Itemised Cost' section instead of 'Per Patient'.
Nurse time could be up to 30 for an oncology patient or other complex patient condition studies, which needs to be considered when assigning time.</t>
  </si>
  <si>
    <t>Time for patient study sign-off including letter to Patient's GP and/or handover to routine care. Includes time to confirm if patient completed the study as per the protocol (Y/N) and/or withdrawn (Y/N)</t>
  </si>
  <si>
    <t>When devices are used in patient care and integrated into trials, the settings need calibrating, monitoring and altering for the patient</t>
  </si>
  <si>
    <t>Time can be allocated per patient visit which is monitored and is variable depending on duration of the study, requirements of visit and monitoring visit schedule. If inclusion of risk/remote based monitoring communication as an alternative to on-site visits, the monitoring plan should be consulted to ensure monitoring visit frequency and durations are appropriately included.
This may be also included in the 'Additional Itemised Cost' section if the monitoring visit frequency is not aligned with patient visits.  Clinical time may also be needed for inclusion if requested.  As a guidance, CRAs can monitor approximately 10 patient visits at each visit.</t>
  </si>
  <si>
    <t>Investigator time to receive and read the Clinical Study Report (CSR) or synopsis and disseminate the results of the study to the study participants.</t>
  </si>
  <si>
    <t>Electrocardiographic monitoring by continuous computerized monitoring and non-continuous recording, and real-time data analysis utilizing a device capable of producing intermittent full-sized waveform tracings, possibly patient activated. Includes preparation of cardio memo (e.g. cleaning, battery status); monitoring time (length of monitoring time may vary from 24/48 hours to a week and should be reflected in price); real-time data analysis;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 of cardio memo on site and a second visit to return of device/flashcard within the agreed time frame, however these visits and associated costs (e.g. travel) should be reflected and included in other the relevant sections of the costing template.</t>
  </si>
  <si>
    <t>Electrocardiographic monitoring by continuous original ECG waveform recording and storage, holter monitoring: Includes hook-up, recording, scanning analysis with report, physician review and interpretation of each 24 hour period.  Includes preparation of equipment (e.g. cleaning, battery status); hook-up; monitoring time (length of monitoring time may vary from 24/48 hours to a week and should be reflected in price); recording; scanning analysis; disconnection;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demo/explanation/removal of Holter on site and a second visit to return of device/flashcard within the agreed time frame however these visits and associated costs (e.g. travel) should be reflected and included in the other relevant sections of the costing  template.</t>
  </si>
  <si>
    <t>As above excluding any intepretation activities.</t>
  </si>
  <si>
    <t>Blood test. ALT (alanine aminotransferase) also known as SGPT (serum glutamic pyruvic transaminase).</t>
  </si>
  <si>
    <t>Blood test.</t>
  </si>
  <si>
    <t>Partial Thromboplastin time (PTT) or alternatively activated Partial Thromboplastin time (aPTT or APTT).  Price includes standard Haematology report for test results.</t>
  </si>
  <si>
    <t xml:space="preserve">Anti streptolysin O Antibodies (ASO). Blood test. May also include anti-streptodornase B.  Price includes provision of appropriate consumables for specimen collection (e.g. container(s) with required preservatives).  Assume routine turnaround time (i.e. non-urgent sample). </t>
  </si>
  <si>
    <t>Basic Biochemistry Profile: Includes ALT, Alkaline phosphatase, Bilirubin (Total), Calcium, Carbon dioxide, Chloride, Creatinine, Glucose, Potassium, Phosphate, Sodium, Urea, Nitrogen (BUN).</t>
  </si>
  <si>
    <t>Full Biochemistry Profile: Includes Albumin, Bilirubin (total), Calcium, Carbon Dioxide (bicarbonate), Chloride, Creatinine, Glucose, Alkaline Phosphatase, Potassium, Protein, Sodium, Alanine Amino Transferase,  (ALT) (SGPT), Aspartate AminoTransferase, (AST) (SGOT), Urea, Nitrogen (BUN).</t>
  </si>
  <si>
    <t xml:space="preserve">Blood test. Includes  LDL Cholesterol, Triglycerides.  Fasting requirements for sample collection to be considered when including test. Individual elements of the profile may be available as isolated test by the local laboratory if required - please confirm capabilities/price for individual tests with local laboratory as required. </t>
  </si>
  <si>
    <t>Biochemistry Liver Function Test: Includes Albumin, Bilirubin, Phosphatase, Alkaline, Protein, total, Transferase, Alanine amino Transferase (ALT) (SGPT), Aspartate amino transferase (AST) (SGOT).</t>
  </si>
  <si>
    <t>Blood test. Activity for purpose of this template is assumed to include Free T3, Free T4, thyroid stimulating hormone (TSH).  Standard thyroid panel will vary from provider to provider (e.g. TSH only first line, others include both TSH and Free T4.  Free T3 is rarely offered first line but may be reflexed based on the other results) Confirmation with local laboratory undertaking investigation to confirm content of profile.</t>
  </si>
  <si>
    <t>Biopsy of Bone marrow, by trocar or needle: Includes preoperative care (including a medical history and physical examination), anaesthesia and routine postoperative care and reporting.</t>
  </si>
  <si>
    <t>Biopsy of muscle: Includes preoperative care (including a medical history and physical examination), anaesthesia and routine postoperative care.</t>
  </si>
  <si>
    <t>Biopsy of skin, subcutaneous tissue and/or mucous membrane, skin tumour: Includes preoperative care (including a medical history and physical examination), anaesthesia and routine postoperative care.</t>
  </si>
  <si>
    <t>Blood test. Conducted for range of potential organisms which may cause sepsis.  Other specimens such as sterile fluids (e.g. Vitreous aspirates, Joint Fluids (Prosthetic &amp; Natural), Cardiac pacemaker site aspirates, Stem Cell fluids should be discussed with local laboratory. Price includes provision of appropriate consumables for specimen collection (e.g. container with required preservatives, compatibility of Blood Culture Bottles with local systems). Turnaround time from collection to incubation based on routine approach for clinical significance.</t>
  </si>
  <si>
    <t>B-type Natriuretic Peptide. Blood test. Excludes NT-proBNP - suggest to confirm availability with local laboratory.</t>
  </si>
  <si>
    <t>Blood test.  Calcium, albumin, and phosphate assumed as standard.  Profile content to be discussed with the local laboratory performing the tests to include as required.</t>
  </si>
  <si>
    <t>Blood test. Includes Creatine Kinase (CK) and Aspartate amino transferase (AST).  Separate to Cardiac Troponin profile.</t>
  </si>
  <si>
    <t>Carcinoembryonic Antigen. Blood test.</t>
  </si>
  <si>
    <t>Includes activities related to routine patient preparation, consumables, equipment and periodic monitoring .  Activities required in excess of routine care activity Activities required in excess of routine care may be charged as additional activities.</t>
  </si>
  <si>
    <t>Urine test.  Price includes provision of appropriate consumables for specimen collection (e.g. container(s) with required preservatives).   Assumes routine sample turnaround time. Where swab (vaginal, endocervical and urethral) specimen is required, discussion is required with local laboratory.</t>
  </si>
  <si>
    <t>Faeces test. Clostridium difficile (Bacteriology).  Assumes sterile collection and storage (e.g.  appropriate CE marked leak proof containers, use of sealed plastic bags for transportation) with routine processing turnaround times. Refrigeration may be required depending on sample transfer/processing time.</t>
  </si>
  <si>
    <t>Blood test.  Activities related to appropriate timing of sample collection (e.g. may require overnight or morning sample) should be included as additional activities within the template.</t>
  </si>
  <si>
    <t>Blood and Urine test. Both 24 urine and blood sample required to calculate clearance.  Ensure relevant procedures for sample collection are included.</t>
  </si>
  <si>
    <t>C-reactive Protein. Blood test.</t>
  </si>
  <si>
    <t>Fibrinolysis. Price based on D dimer test which includes provision of routine Haematology report for test results.  Where alternative fibrin degradation product (FDP) test required, price impact should be discussed with test provider.</t>
  </si>
  <si>
    <t xml:space="preserve">Dual energy x-ray absorptiometry (DEXA) (BMD) (DXA) bone density study: Includes the technical and professional components (reading) </t>
  </si>
  <si>
    <t>Blood test. Direct bilirubin also known as conjugated bilirubin.</t>
  </si>
  <si>
    <t>Electrocardiogram, routine 12 lead ECG includes tracing, interpretation and report</t>
  </si>
  <si>
    <t>Urine or bood test. May have variation in support department conduct (Biochemistry or Immunology).  Activities relating to collection of 24 hour sample may need to be considered when including protocol requirements in the costing template.</t>
  </si>
  <si>
    <t>Faeces test. Samples either single organism screens or diagnostic as per routine standard organisms (Campylobacter sp., Salmonella sp., E.coli (VTEC) including 0157 &amp; Shigella sp.). Additional/alternative organisms may need individual discussion.  Assumes standard collection and storage (e.g.  appropriate CE marked leak proof containers, use of sealed plastic bags for transportation) with routine processing turnaround times.</t>
  </si>
  <si>
    <t>Blood test. Content may vary per test provider which could impact price (e.g. inclusion of automated and manual differential WBC count).  Template test price assumed to include haemogram and platelet count, haematocrit, haemoglobin, haematology, Red blood indices: Mean corpuscular volume (MCV), Mean corpuscular haemoglobin (MCH), Mean corpuscular haemoglobin concentration (MCHC), Red blood cell distribution width (RDW).</t>
  </si>
  <si>
    <t>Blood test. Price includes standard Haematology report for test results.</t>
  </si>
  <si>
    <t>Blood test. Free Thyroxine (Free T4).</t>
  </si>
  <si>
    <t>Follicle-stimulating hormone (FSH). Blood test.</t>
  </si>
  <si>
    <t>Specimen may not always be swab and could include High vaginal swab (HVS), vaginal discharge, vulval swab, labial swab, cervical swab, endocervical swab, penile swab, urethral swab, genital ulcer swab, semen, screening swabs for N. gonorrhoeae, aspirates from bartholin’s gland, fallopian tube, tubo-ovarian abscess, pouch of Douglas fluid, intra-uterine contraceptive device (IUCD) or products of conception. Includes aspectic collection and storage (e.g.  appropriate CE marked leak proof containers, use of sealed plastic bags for transportation) with routine processing turnaround times.</t>
  </si>
  <si>
    <t>Blood test. Glucose level testing via plasma/serum.</t>
  </si>
  <si>
    <t>Blood test. Fasting sample. Assumes two samples collected over a two hour period.  Patient consumables (glucose intake) included in price for purpose of the template.  Cost for patient supervision during this assessment should be included separately as may vary depending on the protocol requirements.</t>
  </si>
  <si>
    <t>Includes all activities post-sample collection and/or processing related to storage and/or handling of samples to be sent for off-site analysis (e.g. Sponsor's central laboratory) such as administrative co-ordination, packaging and/or storage resources and staff availability. Activity and price is anticipated to vary based on sample type, sample numbers, duration and NHS organisation facilities.</t>
  </si>
  <si>
    <t>Blood test. Encompasses a wide variety of serological investigations including Hepatitis. Price includes provision of appropriate consumables for specimen collection (e.g. container(s) with required preservatives). Assume routine turnaround time (i.e. non-urgent sample).</t>
  </si>
  <si>
    <t>Blood test. Encompasses a wide variety of serological investigations including Hepatitis. Price includes provision of appropriate consumables for specimen collection (e.g. container(s) with required preservatives). Blood test. Various confirmatory tests on a presumptive positive results. Confirmation of Hepatitis C could be combined with other such as HIV and Syphilis. Price includes provision of appropriate consumables for specimen collection (e.g. container(s) with required preservatives). Assume routine turnaround time (i.e. non-urgent sample).</t>
  </si>
  <si>
    <t>Blood test. Encompasses a wide variety of serological investigations including HIV. Price includes provision of appropriate consumables for specimen collection (e.g. container(s) with required preservatives). Assume routine turnaround time (i.e. non-urgent sample).</t>
  </si>
  <si>
    <t>Blood test</t>
  </si>
  <si>
    <t>Blood test. Insulin Like Growth Factor (IGF-1) also known as sommatomedin-C.</t>
  </si>
  <si>
    <t>Blood test.  Assumes G, A, M as standard.  Inclusion of immunoglobulin classes to be confirmed with local laboratory. Excludes price for test on other sample type (e.g. cerebrospinal fluid).</t>
  </si>
  <si>
    <t>Vitamin K antagonist or Oral Anti-coagulant Control (INR). Blood test. Price reflects use of International Normalised Ratio (INR).  Price includes standard Haematology report for test results.</t>
  </si>
  <si>
    <t>Blood test. Test includes measure of iron (and iron status), transferrin and iron binding capacity or tranferrin saturation.</t>
  </si>
  <si>
    <t>Luteinizing Hormone.  Blood test.</t>
  </si>
  <si>
    <t>Magnetic resonance imaging, (MRI); with contrast material(s) single area (e.g. extremities, joints, chest, brain, orbit, face). Includes the technical and professional components (reading)</t>
  </si>
  <si>
    <t>Magnetic resonance imaging (MRI); single area e.g. extremities, joints, chest, brain without contrast material(s): Includes the technical and professional components (reading)</t>
  </si>
  <si>
    <t xml:space="preserve">Radionuclide ventriculography and left ventricular ejection fraction (LVEF) determination. Includes the technical and professional components (reading).  </t>
  </si>
  <si>
    <t>Osmolality measurement. Blood test. Includes conduct of osmolality measurement only.  Excludes Osmolar Gap calculation which should be included as a separate investigation to include the time for the biochemist or researcher to undertake the calculation if required. Calculated as 2 x (Na + K) +glucose + urea).</t>
  </si>
  <si>
    <t>Overnight stay on a night ward (defined by HSCIC as being classified in the 'Ward Operational Plan').  Includes overnight patient care routine activities e.g. general ward facilities including consumables, meals and periodic medical monitoring as per routine ward operations.  Activities required in excess of routine care (e.g. dedicated staff member bedside monitoring) may be charged as additional activities.</t>
  </si>
  <si>
    <t>Viral Polymerase chain reaction (PCR). Blood sample.  Assumes collection and storage (e.g. appropriate CE marked leak proof containers, use of sealed plastic bags for transportation) with routine processing turnaround times. Actual requirement dependent of viral PCR required. Results may be qualitative or quantitative depending on assay.</t>
  </si>
  <si>
    <t>Blood test.  Free prolactin is estimated. Macroprolactin analysis may be conducted over a certain threshold, but specific practice should be discussed with research site as required to ensure requirements are accommodated.</t>
  </si>
  <si>
    <t>Blood test.  Price includes standard Haematology report for test results.</t>
  </si>
  <si>
    <t>Prostate Specific Antigen. Blood test. Also known as total PSA; free PSA; complex PSA</t>
  </si>
  <si>
    <t>Parathyroid Hormone (PTH). Blood test.  Also known as Intact PTH; Parathyroid Hormone.</t>
  </si>
  <si>
    <t>Application of Response Evaluation Criteria in Solid Tumours (RECIST) for measuring tumour response when undertaking standard X-ray, CT and/or MRI scan.  Charged as an additional activity for each applicable standard X-ray, CT and/or MRI scan.</t>
  </si>
  <si>
    <t>Blood test. Includes collection and storage (e.g. appropriate CE marked leak proof containers, use of sealed plastic bags for transportation) with routine processing turnaround times.</t>
  </si>
  <si>
    <t>Variety of sample types including skin, hair, nail or swabs, secretions/fluids, joint fluid, csf, pleural fluid and a variety of tissue types. Assumes collection and storage (e.g. appropriate CE marked leak proof containers, use of sealed plastic bags for transportation) with routine processing turnaround times. Actual requirement dependent on type of pathogen sought.</t>
  </si>
  <si>
    <t>Blood test.  Includes analysis of quantitative human beta chorionic gonadotropin  (HCG/(Beta hCG)</t>
  </si>
  <si>
    <t>Blood test. Free tri-iodothyronine (Free T3, FT3).  May not be included as part of standard thyroid function test depending on location.</t>
  </si>
  <si>
    <t>Throat swab taken from the tonsillar area and/or posterior pharynx.  Includes collection and storage (e.g.  appropriate CE marked leak proof containers, use of sealed plastic bags for transportation) with routine processing turnaround times.</t>
  </si>
  <si>
    <t>Blood test.  Thyroglobulin antibody (TG auto ab) levels usually reported with test result as standard due to potential interference with the assay however confirmation with local research site regarding content of reporting will be required.</t>
  </si>
  <si>
    <t>Echocardiography, transthoracic, real-time with image documentation (2D) with or without M-mode recording</t>
  </si>
  <si>
    <t>Blood test.  Use of  plasma, serum or whole blood may vary depending on local laboratories policies/timing/sensitivity of test.  Separate test to Troponin T, Laboratories usually offer one or the other.  Confirm with local laboratory as to availability of test.  Price provided assumes laboratory delivery however some research site may provide as the Point of Care Testing by clinical staff (e.g. trained nurse) which could impact price.</t>
  </si>
  <si>
    <t xml:space="preserve">Blood test.  Use of  plasma, serum or whole blood may vary depending on local laboratories policies/timing/sensitivity of test. Separate test to Troponin I, commonly offered as an either or to Troponin T.  Confirm with local laboratory as to availability of test.  Price provided assumes laboratory delivery however some research site may provide as the Point of Care Testing by clinical staff (e.g. trained nurse)  which could impact price. </t>
  </si>
  <si>
    <t>Thyroid Stimulating Hormone.  Blood test.</t>
  </si>
  <si>
    <t>Urea and Electrolytes (U&amp;E) Profile. Blood test. Activity price in the template includes Sodium, Potassium, urea (blood urea nitrogen, BUN), creatinine, and estimated glomerular filtration rate (eGFR) where calculation is appropriate.</t>
  </si>
  <si>
    <t>Blood test. Uric acid also known as urate. Price for alternative urine test to be confirmed with local laboratory.</t>
  </si>
  <si>
    <t>Urine test.  Require dip stick. Assumes to include glucose, blood, ketones, leukocytes, pH, protein, nitrite, specific gravity, urobilinogen (urine analysis) (UA); without microscopy.  Activity price assumes exclusion of urobilinogen and bilirubin from dip stick analysis.  Confirmation required with local laboratory where inclusion of additional tests are required. Includes price of dip stick and standard consumables.</t>
  </si>
  <si>
    <t>Urine test. Clean catch urine (CCU), mid stream urine (MSU), supra pubic aspirate (SPA) , bladder urine &amp; catheter urine. The microscopical presence of White Blood Cells (WBC) is quantified and correlated to bacterial growth. The presence of Red Blood Cells (RBC) and epithelial cells is also reported. Includes collection and storage (e.g.  appropriate CE marked leak proof containers, use of sealed plastic bags for transportation) with routine processing turnaround times.   Certain cultures may require repeat samples over consecutive days.</t>
  </si>
  <si>
    <t xml:space="preserve">Urine test.  Detects only drugs included in the following classes: amphetamines, barbiturates, benzodiazepines, cannabinoids, cocaine, methadone, opiates, integrity tests.  Content of local profile should be verified with local laboratory.  Activity in template assumes price for on-site laboratory analysis.  If local laboratory utilises external analysis for investigation, alternative price discussions may be required. </t>
  </si>
  <si>
    <t>Swab sample may include abscess pus, abscess swab, deep-seated pus swab, post-operative wound swab, wound exudates. Assumes aseptic collection and storage (e.g.  appropriate CE marked leak proof containers, use of sealed plastic bags for transportation) with routine processing turnaround times. On-site ambient or refrigerated transport as required.</t>
  </si>
  <si>
    <t>Controlled drugs are those that could potentially be abused (e.g. morphine) and need to be added to a register when used</t>
  </si>
  <si>
    <t>Only chargeable when work is performed by Pharmacy</t>
  </si>
  <si>
    <t>Charged only if sponsors specifically requests counting and recording by pharmacy staff</t>
  </si>
  <si>
    <t>Stock checks are a good practice and not chargeable to the Sponsor, however additional task such as requests for specific reporting may be charged as additional costs if required</t>
  </si>
  <si>
    <t>Pharmacy General</t>
  </si>
  <si>
    <t>Pharmacy_General</t>
  </si>
  <si>
    <t>`</t>
  </si>
  <si>
    <t xml:space="preserve"> Chargeable per patient collection (blood draw) not per tube. Covers preparation (e.g. cannulation if used), equipment, collection and paperwork.  Cost EXCLUDES processing - if required please select additional line item for blood sample collection processing. May need to consider time adjustments when collection is outside of normal working hours (e.g. access restrictions).  Where applicable ensure investigator time is included for sign-off’.  May be required for pregnancy test (serum hCG) - amend descriptive text to show inclusion as required.</t>
  </si>
  <si>
    <t>Participant</t>
  </si>
  <si>
    <t>General</t>
  </si>
  <si>
    <t>NHS Service Support Cost</t>
  </si>
  <si>
    <t>Excess Treatment Cost/ Treatment Cost Saving</t>
  </si>
  <si>
    <t xml:space="preserve">Total Participant Costs
</t>
  </si>
  <si>
    <t xml:space="preserve">Full Study Total </t>
  </si>
  <si>
    <t>TOTAL SITE LEVEL COSTS</t>
  </si>
  <si>
    <t>Full cost of Project at site level</t>
  </si>
  <si>
    <t>Cost</t>
  </si>
  <si>
    <t>3. Are you making application for funding from a portfolio eligible Association of Medical Research Charities (AMRC) member?</t>
  </si>
  <si>
    <t>Participant Identification</t>
  </si>
  <si>
    <t>Participant_Identification</t>
  </si>
  <si>
    <t>Scotland</t>
  </si>
  <si>
    <t>Northern Ireland</t>
  </si>
  <si>
    <t>Wales (Cymru)</t>
  </si>
  <si>
    <r>
      <t xml:space="preserve">Area of Activity
</t>
    </r>
    <r>
      <rPr>
        <b/>
        <sz val="11"/>
        <color rgb="FF005EB8"/>
        <rFont val="Arial"/>
        <family val="2"/>
      </rPr>
      <t>(Select this first)</t>
    </r>
  </si>
  <si>
    <r>
      <t xml:space="preserve">Specific Activity                                   
</t>
    </r>
    <r>
      <rPr>
        <b/>
        <sz val="11"/>
        <color rgb="FF005EB8"/>
        <rFont val="Arial"/>
        <family val="2"/>
      </rPr>
      <t>(Drop down only present when Area of Activity selected first - if required activity is not shown - follow guidance above)</t>
    </r>
  </si>
  <si>
    <r>
      <t xml:space="preserve">Duration
</t>
    </r>
    <r>
      <rPr>
        <b/>
        <sz val="11"/>
        <color rgb="FF005EB8"/>
        <rFont val="Arial"/>
        <family val="2"/>
      </rPr>
      <t>(Minutes)</t>
    </r>
  </si>
  <si>
    <r>
      <t xml:space="preserve">Undertaken by 
</t>
    </r>
    <r>
      <rPr>
        <b/>
        <sz val="11"/>
        <color rgb="FF005EB8"/>
        <rFont val="Arial"/>
        <family val="2"/>
      </rPr>
      <t>(drop down only)</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</si>
  <si>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</si>
  <si>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</si>
  <si>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Specific Activity                                    
</t>
    </r>
    <r>
      <rPr>
        <b/>
        <sz val="11"/>
        <color rgb="FF005EB8"/>
        <rFont val="Arial"/>
        <family val="2"/>
      </rPr>
      <t>(Drop down only present when Area of Activity selected first - if required activity is not shown - follow guidance above)</t>
    </r>
  </si>
  <si>
    <r>
      <t xml:space="preserve">Specific Activity                                  
</t>
    </r>
    <r>
      <rPr>
        <b/>
        <sz val="11"/>
        <color rgb="FF005EB8"/>
        <rFont val="Arial"/>
        <family val="2"/>
      </rPr>
      <t>(Drop down only present when Area of Activity selected first - if required activity is not shown - follow guidance above)</t>
    </r>
  </si>
  <si>
    <t>Chargeable as additional to standard/routine service provision of basic access, hospitality, documentation provision and query response (Usual staff hourly rate)</t>
  </si>
  <si>
    <t>CRA-requested dedicated Pharmacy staff time to support monitoring visits</t>
  </si>
  <si>
    <t>General Activities</t>
  </si>
  <si>
    <t>Tariffs updated for 2018/19</t>
  </si>
  <si>
    <t>NHS England Speciaised Services</t>
  </si>
  <si>
    <t>Excess Treatment Costs Analysis of Payments</t>
  </si>
  <si>
    <t>Cost per Patient</t>
  </si>
  <si>
    <t>Expected Length of Trial (Years)</t>
  </si>
  <si>
    <t>Year 1</t>
  </si>
  <si>
    <t>Year 2</t>
  </si>
  <si>
    <t>Year 3</t>
  </si>
  <si>
    <t>Year 4</t>
  </si>
  <si>
    <t>Total</t>
  </si>
  <si>
    <t>Expected Profile of Patients</t>
  </si>
  <si>
    <t>Expected No. of Participants</t>
  </si>
  <si>
    <t>Code</t>
  </si>
  <si>
    <t xml:space="preserve">% </t>
  </si>
  <si>
    <t>MFF</t>
  </si>
  <si>
    <t>Insert Rows above as required</t>
  </si>
  <si>
    <t>TOTAL</t>
  </si>
  <si>
    <t>Part A : Tariff Payment per Patient</t>
  </si>
  <si>
    <t>Patient Type</t>
  </si>
  <si>
    <t>TFC</t>
  </si>
  <si>
    <t>HRG</t>
  </si>
  <si>
    <t>Unit Cost  Ex-MFF</t>
  </si>
  <si>
    <t>Total including average MFF</t>
  </si>
  <si>
    <t>Part B : Local Payment per Patient</t>
  </si>
  <si>
    <t>Part C : Pass Through Costs per Patient</t>
  </si>
  <si>
    <t>TOTAL PAYMENT PER PATIENT</t>
  </si>
  <si>
    <t>Part D : Block Payments</t>
  </si>
  <si>
    <t>Value</t>
  </si>
  <si>
    <t>Years</t>
  </si>
  <si>
    <t>Lead Provider Only</t>
  </si>
  <si>
    <t>Each Participating Provider</t>
  </si>
  <si>
    <t>Section 4 Payment Balance (Fixed Payment per Patient)</t>
  </si>
  <si>
    <t>Section</t>
  </si>
  <si>
    <t>Total Routine Payments per Patient</t>
  </si>
  <si>
    <t>Total Block Payments - Lead</t>
  </si>
  <si>
    <t>Total Block Payments - Participating Providers</t>
  </si>
  <si>
    <t>Balance of Costs (+ve or -ve)</t>
  </si>
  <si>
    <t>Additional Payment per Patient</t>
  </si>
  <si>
    <t>Section 5 Payment Plan</t>
  </si>
  <si>
    <t>Provider</t>
  </si>
  <si>
    <t>No. of Patients</t>
  </si>
  <si>
    <t>Routine Payments</t>
  </si>
  <si>
    <t>Additional Payment</t>
  </si>
  <si>
    <t>Block Payment</t>
  </si>
  <si>
    <t>Total Payment</t>
  </si>
  <si>
    <t>Notes</t>
  </si>
  <si>
    <r>
      <t xml:space="preserve">Section 2 Routine Payments </t>
    </r>
    <r>
      <rPr>
        <i/>
        <sz val="10"/>
        <color theme="1"/>
        <rFont val="Arial"/>
        <family val="2"/>
      </rPr>
      <t>(to be completed by lead provider and agreed with NHS England)</t>
    </r>
  </si>
  <si>
    <r>
      <t xml:space="preserve">Section 3 Participant Block Payment </t>
    </r>
    <r>
      <rPr>
        <i/>
        <sz val="10"/>
        <color theme="1"/>
        <rFont val="Arial"/>
        <family val="2"/>
      </rPr>
      <t>(to be completed by lead provider and agreed with NHS England)</t>
    </r>
  </si>
  <si>
    <t>Short Study Title</t>
  </si>
  <si>
    <t>IRAS Reference Number</t>
  </si>
  <si>
    <t>NHS Excess Treatment Cost / Cost saving</t>
  </si>
  <si>
    <t>Expected No. of Participating sites</t>
  </si>
  <si>
    <t>Participating Sites</t>
  </si>
  <si>
    <r>
      <rPr>
        <b/>
        <sz val="11"/>
        <rFont val="Arial"/>
        <family val="2"/>
      </rPr>
      <t>Source</t>
    </r>
    <r>
      <rPr>
        <sz val="11"/>
        <rFont val="Arial"/>
        <family val="2"/>
      </rPr>
      <t>: Prices based industry costing template version: May 2018 v.1.2</t>
    </r>
  </si>
  <si>
    <t>NHS Excess Treatment Cost / Cost saving per patient - average across all arms</t>
  </si>
  <si>
    <t>Average per patient cost (mean)</t>
  </si>
  <si>
    <t>Excess Treatment Cost /Treatment Cost Saving</t>
  </si>
  <si>
    <t>Total per participant</t>
  </si>
  <si>
    <t>Section 1 : Base Information</t>
  </si>
  <si>
    <t>Date Authorised</t>
  </si>
  <si>
    <t xml:space="preserve">Date Authorised </t>
  </si>
  <si>
    <t>NO ETCs Involved</t>
  </si>
  <si>
    <t>Specialised Commisioning ETCs Confirmed</t>
  </si>
  <si>
    <t>CCG ETCs Confirmed</t>
  </si>
  <si>
    <t>Study Info Tab - Q12 drop down</t>
  </si>
  <si>
    <t>7. Planned Start Date</t>
  </si>
  <si>
    <t>8. Planned End Date</t>
  </si>
  <si>
    <t>9. Duration (Months)</t>
  </si>
  <si>
    <t>OFFICE USE ONLY</t>
  </si>
  <si>
    <t>Name of Authoriser</t>
  </si>
  <si>
    <t>Specialised Commissioning only</t>
  </si>
  <si>
    <t>Clinical Commissioning Groups only</t>
  </si>
  <si>
    <t>Mixed commissioner - Mainly Specialised Commissioning </t>
  </si>
  <si>
    <t>Mixed commissioner - Mainly Clinical Commissioning Groups</t>
  </si>
  <si>
    <t>Study Information Tab - Main Commissioner  Q13</t>
  </si>
  <si>
    <t>Yes</t>
  </si>
  <si>
    <t>No</t>
  </si>
  <si>
    <t>Version Number</t>
  </si>
  <si>
    <t>Record of changes</t>
  </si>
  <si>
    <t>v1.4  13 September 2018</t>
  </si>
  <si>
    <t xml:space="preserve">Changes to protection to allow user to input 'no of participants' in "Per-Participant Activities Arm1-5" tabs. 
Insertion of additional lines in "Standard of Care", "General Activities" and "Per-Participant Activities Arm1-5" tabs. 
Change to protection on "Standard of Care", "General Activities" and "Per-Participant Activities Arm1-5" tabs to restrict insertion of additional rows.
Minor changes to fonts for greater consistency.
Addition of Change History tab
</t>
  </si>
  <si>
    <t>First published version</t>
  </si>
  <si>
    <t>v1.3  6 September 2018</t>
  </si>
  <si>
    <t>v1.2 6 September 2018</t>
  </si>
  <si>
    <t>Study Information tab question 3 dropdown menu amended to 'yes/no'</t>
  </si>
  <si>
    <t>v1.5 25 September 2018</t>
  </si>
  <si>
    <t>11. Lead Local Clinical Research Network (LCRN) or Devolved Administration</t>
  </si>
  <si>
    <t>13. Main Commissioner</t>
  </si>
  <si>
    <t>10. Projected Number of Sites</t>
  </si>
  <si>
    <t xml:space="preserve">Excess Treatment Cost </t>
  </si>
  <si>
    <t>General Activities Total (across projected number of sites)</t>
  </si>
  <si>
    <t>General Activities Total Costs
 (Across projected number of sites)</t>
  </si>
  <si>
    <t>General Activities per participant ETC</t>
  </si>
  <si>
    <t>Agreed Per Patient ETC</t>
  </si>
  <si>
    <t>v1.6 5 October 2018</t>
  </si>
  <si>
    <t>v1.7 16 October 2018</t>
  </si>
  <si>
    <t xml:space="preserve">Print settings updated </t>
  </si>
  <si>
    <t>Changes to drop down menus, so options appear in alphabetical order on "Standard of Care", "General Activities" and "Per-Participant Activities Arm1-5" tabs.
Changes to the formula on the summary tab, so that the average calculates correctly when an active arm does not have excess treatment costs.
Changes to the formulae on the summary tab, so that excess treatment costs do not appear as a negative number when arms are not active.                                                                         
Clarification added to 'Standard of Care' tab guidance that this is a baseline tab and that standard of care must be separately entered into a per-participant arm tab where standard of care forms one of the study arms.</t>
  </si>
  <si>
    <t>Addition of "Projected Number of Sites" field on "Study Information" Tab
Insertion of formula to calculate duration in months in "Duration (months)" cell in "Study Information" tab
Amendment of formulas in the general activities section of the "Summary" tab to multiply the values by the project number of sites captured on the "Study Information" tab. 
Addition of a field to calculate total per patient excess treatment cost (includes general activities)</t>
  </si>
  <si>
    <t>Number of Participants in Arm 6</t>
  </si>
  <si>
    <t>Number of Participants in Arm 7</t>
  </si>
  <si>
    <t>Number of Participants in Arm 8</t>
  </si>
  <si>
    <t>Number of Participants in Arm 9</t>
  </si>
  <si>
    <t>Number of Participants in Arm 10</t>
  </si>
  <si>
    <t>Number of Participants in Arm 11</t>
  </si>
  <si>
    <t>V1.8 6 November 2018</t>
  </si>
  <si>
    <t>Number of Participants in Arm 13</t>
  </si>
  <si>
    <t>Number of Participants in Arm 14</t>
  </si>
  <si>
    <t>Number of Participants in Arm 15</t>
  </si>
  <si>
    <t>Arm 6</t>
  </si>
  <si>
    <t>Arm 7</t>
  </si>
  <si>
    <t>Arm 8</t>
  </si>
  <si>
    <t>Arm 9</t>
  </si>
  <si>
    <t>Arm 10</t>
  </si>
  <si>
    <t>Arm 11</t>
  </si>
  <si>
    <t>Arm 12</t>
  </si>
  <si>
    <t>Arm 13</t>
  </si>
  <si>
    <t>Arm 14</t>
  </si>
  <si>
    <t>Arm 15</t>
  </si>
  <si>
    <t>Number of Arm worksheet sheets expanded to 15. Formulae in Summary sheet corrected to calculate Research Costs/Research Costs A and B correctly. Not distributed widely.</t>
  </si>
  <si>
    <t>V1.9 15 November 2018</t>
  </si>
  <si>
    <r>
      <rPr>
        <b/>
        <sz val="11"/>
        <color theme="1"/>
        <rFont val="Arial"/>
        <family val="2"/>
      </rPr>
      <t>Study Information tab:</t>
    </r>
    <r>
      <rPr>
        <sz val="11"/>
        <color theme="1"/>
        <rFont val="Arial"/>
        <family val="2"/>
      </rPr>
      <t xml:space="preserve"> Guidance added on what to do if study has more than 5 arms.
</t>
    </r>
    <r>
      <rPr>
        <b/>
        <sz val="11"/>
        <color theme="1"/>
        <rFont val="Arial"/>
        <family val="2"/>
      </rPr>
      <t xml:space="preserve">Arms 6-15 tabs </t>
    </r>
    <r>
      <rPr>
        <sz val="11"/>
        <color theme="1"/>
        <rFont val="Arial"/>
        <family val="2"/>
      </rPr>
      <t xml:space="preserve">-  These tabs are hidden in standard published version.
</t>
    </r>
    <r>
      <rPr>
        <b/>
        <sz val="11"/>
        <color theme="1"/>
        <rFont val="Arial"/>
        <family val="2"/>
      </rPr>
      <t xml:space="preserve">Summary tab </t>
    </r>
    <r>
      <rPr>
        <sz val="11"/>
        <color theme="1"/>
        <rFont val="Arial"/>
        <family val="2"/>
      </rPr>
      <t xml:space="preserve">- Formula for "total NHS Service Support Costs" corrected,  adjustment to how the average costs were calculated  to provide a more accurate figure, addition of  new calcuation for "Cost Saving in drug/device per month total"   and columns (Arms 6-15) hidden. 
</t>
    </r>
    <r>
      <rPr>
        <b/>
        <sz val="11"/>
        <color theme="1"/>
        <rFont val="Arial"/>
        <family val="2"/>
      </rPr>
      <t>Non-Tariff Costs tab</t>
    </r>
    <r>
      <rPr>
        <sz val="11"/>
        <color theme="1"/>
        <rFont val="Arial"/>
        <family val="2"/>
      </rPr>
      <t xml:space="preserve"> - Validation included to restrict non-tariff entries on the non-tariff costs tab to 250 characters.
</t>
    </r>
    <r>
      <rPr>
        <b/>
        <sz val="11"/>
        <color theme="1"/>
        <rFont val="Arial"/>
        <family val="2"/>
      </rPr>
      <t xml:space="preserve">Standard of Care, General Activities and Arm tabs </t>
    </r>
    <r>
      <rPr>
        <sz val="11"/>
        <color theme="1"/>
        <rFont val="Arial"/>
        <family val="2"/>
      </rPr>
      <t>- clearer guidance on use of drop down menus and data validation added to prevent entry of free text.</t>
    </r>
  </si>
  <si>
    <t>Current Cost of treatment (Drug/ Device) per participant per Month</t>
  </si>
  <si>
    <t>Future Cost of Treatment (Drug/ Device) per participant per Month</t>
  </si>
  <si>
    <t>Per Patient Cost Saving in Drug/ Device over study duration</t>
  </si>
  <si>
    <r>
      <t xml:space="preserve">Total Cost Saving in Drug/Device  over study duration </t>
    </r>
    <r>
      <rPr>
        <sz val="11"/>
        <color theme="1"/>
        <rFont val="Arial"/>
        <family val="2"/>
      </rPr>
      <t>(</t>
    </r>
    <r>
      <rPr>
        <sz val="10"/>
        <color theme="1"/>
        <rFont val="Arial"/>
        <family val="2"/>
      </rPr>
      <t>multiplied by total number of participants)</t>
    </r>
  </si>
  <si>
    <t>V1.9i 15 January 2019</t>
  </si>
  <si>
    <t>V1.9ii 16 January 2019</t>
  </si>
  <si>
    <t>Addition of a new drop down item for completion by ACoRD specialists on the "Study Information" tab.</t>
  </si>
  <si>
    <t>Study tab - SoECAT completion required</t>
  </si>
  <si>
    <t>yes</t>
  </si>
  <si>
    <t>no</t>
  </si>
  <si>
    <t>V1.10</t>
  </si>
  <si>
    <t>Demonstration version (not published)</t>
  </si>
  <si>
    <t>Correction on General Activity tab menus to correctly calculate costs associated with "CRA-requested dedicated Pharmacy staff time to support monitoring visits"</t>
  </si>
  <si>
    <t>Change to ACoRD specialist sign-off section on the "Study Information" tab to include reasons why SoECAT is/isn't required.</t>
  </si>
  <si>
    <t>V1.11 12 February 2019</t>
  </si>
  <si>
    <t>The application is for a Programme Grant.  The applicant has been advised that the SoECAT will need to be updated once trial protocols have been developed.</t>
  </si>
  <si>
    <t>12. Pre-application AcoRD Specialist Authorisation</t>
  </si>
  <si>
    <t>This SoECAT has been completed for the named study-level application and the cost attribution is in line with the AcoRD guidance as of the given date</t>
  </si>
  <si>
    <t>Name of AcoRD Specialist</t>
  </si>
  <si>
    <t>Change to List of Activities tab: Study Monitoring activities had incorrectly been labelled as Pharmacy General activities and vice versa. Also the removal of non tariff menu options on the "Specific Activity" menus on the Per-Participant Activities Arms1-15 and the General Activities tab. Addition of version number on Study Information tab.</t>
  </si>
  <si>
    <t>V1.12 28 March 2019</t>
  </si>
  <si>
    <t>V1.13 18 April 2019</t>
  </si>
  <si>
    <t>Correction of broken link on Study Information tab for NIHR Partner information</t>
  </si>
  <si>
    <t>Admin/Data Entry</t>
  </si>
  <si>
    <t>Medical Staff</t>
  </si>
  <si>
    <t>Nursing/Manager</t>
  </si>
  <si>
    <t>Correction to formulas in rows 64 onwards on Per-Participant tabs. Updating of links to CRN website on the "Study Information" tab. Changes to the staff roles in the "Undertaken By" drop down menus on the "General Activities" and "Per-Participant Activities" tab plus the addition of a free text field to input the name and/or role of the person undertaking the activities.</t>
  </si>
  <si>
    <t>Number of Participants in Arm 12</t>
  </si>
  <si>
    <r>
      <t>Undertaken by</t>
    </r>
    <r>
      <rPr>
        <b/>
        <sz val="11"/>
        <color rgb="FF331188"/>
        <rFont val="Arial"/>
        <family val="2"/>
      </rPr>
      <t xml:space="preserve">                                                
</t>
    </r>
    <r>
      <rPr>
        <b/>
        <sz val="11"/>
        <color rgb="FF005EB8"/>
        <rFont val="Arial"/>
        <family val="2"/>
      </rPr>
      <t>(Required field - Drop down only)</t>
    </r>
  </si>
  <si>
    <r>
      <t xml:space="preserve">Undertaken by 
</t>
    </r>
    <r>
      <rPr>
        <b/>
        <sz val="11"/>
        <color rgb="FF005EB8"/>
        <rFont val="Arial"/>
        <family val="2"/>
      </rPr>
      <t>(Optional field - free text)</t>
    </r>
  </si>
  <si>
    <t>V1.14 25 July 2019</t>
  </si>
  <si>
    <t>Addition of a limited character comments box in SoECAT sign-off section for ‘additional clarifications from AcoRD Specialist’ on the "Study Information" tab. Additional guidance on the use of roles in the "Per-Participant Activities Arm 1-5" tabs.</t>
  </si>
  <si>
    <t>Additional clarifications from AcoRD Specialist</t>
  </si>
  <si>
    <t>V1.15 21 August 2019</t>
  </si>
  <si>
    <t>v1.16 6 September 2019</t>
  </si>
  <si>
    <t>Adjustment to formula on "Study Information" tab that calculates duration of study to count full months correctly</t>
  </si>
  <si>
    <t>v1.17 7 October 2019</t>
  </si>
  <si>
    <t>Amendment to " Study Information" tab necessary to lock down responses to Question 12 and some changes to the wording in Question 12.</t>
  </si>
  <si>
    <t>Select yes for each that applies</t>
  </si>
  <si>
    <t>SoECAT completion is not required because the study will not be included on the NIHR Clinical Research Network Portfolio, or equivalent in Scotland, Wales or Northern Ireland.  The applicant has been advised that the study will not be eligible to have its NHS Support Costs or Excess Treatment Costs recompensed.</t>
  </si>
  <si>
    <t>SoECAT completion is not required because there are only Research Costs.  The applicant has been advised that an IRAS schedule of events will need to be completed at IRAS Approval application stage, if the study is to take place in the NHS (including in HSC in Northern Ireland).</t>
  </si>
  <si>
    <t>Do not use</t>
  </si>
  <si>
    <t>Study Arm Name, Phase or other Designator (optional):</t>
  </si>
  <si>
    <t>(N.B. value to be entered into CPMS, by CRN staff, for CCG commissioned activity).  </t>
  </si>
  <si>
    <t>14. Post Award Triage Authorisation</t>
  </si>
  <si>
    <t>v1.18 12 November 2019</t>
  </si>
  <si>
    <t>Amendment to make clear that this is template A (up to five arms) and remove instruction to contact hra.approval@nhs.net to obtain 15 arm version. Changes to the text for Question 12 on the "Study Information" tab to make it applicable UK wide. Alteration to the column labels on the "Standard of Care" tab to make it easier to copy and paste text to per-participant arms. Change to guidance on "Standard of Care" tab on how to copy and paste. Addition of field to label each arm on "Per Participant Activities Arm" tabs. Addition of additional guidance on "Summary" tab. Change to the text associated with Q14 on the "Study Information" tab.</t>
  </si>
  <si>
    <t>PRINCIPLE</t>
  </si>
  <si>
    <t>Profesor Christopher Butler</t>
  </si>
  <si>
    <t>Usual Care</t>
  </si>
  <si>
    <t>Intervention</t>
  </si>
  <si>
    <t>Advice over phone and request to sefl-isolate</t>
  </si>
  <si>
    <t>Eligibility check - review of medications and co-morbidities</t>
  </si>
  <si>
    <t>Department of Health and Social Care</t>
  </si>
  <si>
    <t>Dispensing self swab kit</t>
  </si>
  <si>
    <t>Intervention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</si>
</sst>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Red]\-&quot;£&quot;#,##0.00"/>
    <numFmt numFmtId="44" formatCode="_-&quot;£&quot;* #,##0.00_-;\-&quot;£&quot;* #,##0.00_-;_-&quot;£&quot;* &quot;-&quot;??_-;_-@_-"/>
    <numFmt numFmtId="164" formatCode="&quot;£&quot;#,##0.00"/>
    <numFmt numFmtId="165" formatCode="[$-F800]dddd\,\ mmmm\ dd\,\ yyyy"/>
    <numFmt numFmtId="166" formatCode="&quot;£&quot;#,##0"/>
    <numFmt numFmtId="167" formatCode="0.0000"/>
    <numFmt numFmtId="168" formatCode="0.0%"/>
  </numFmts>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b/>
      <sz val="9"/>
      <color theme="1"/>
      <name val="Arial"/>
      <family val="2"/>
    </font>
    <font>
      <b/>
      <sz val="14"/>
      <color theme="1"/>
      <name val="Arial"/>
      <family val="2"/>
    </font>
    <font>
      <b/>
      <sz val="11"/>
      <color theme="1"/>
      <name val="Arial"/>
      <family val="2"/>
    </font>
    <font>
      <sz val="8"/>
      <color theme="1"/>
      <name val="Calibri"/>
      <family val="2"/>
      <scheme val="minor"/>
    </font>
    <font>
      <sz val="11"/>
      <color theme="1"/>
      <name val="Arial"/>
      <family val="2"/>
    </font>
    <font>
      <u/>
      <sz val="11"/>
      <color theme="10"/>
      <name val="Calibri"/>
      <family val="2"/>
      <scheme val="minor"/>
    </font>
    <font>
      <sz val="11"/>
      <color rgb="FFFF0000"/>
      <name val="Arial"/>
      <family val="2"/>
    </font>
    <font>
      <sz val="11"/>
      <name val="Arial"/>
      <family val="2"/>
    </font>
    <font>
      <b/>
      <sz val="11"/>
      <color rgb="FFF8971D"/>
      <name val="Arial"/>
      <family val="2"/>
    </font>
    <font>
      <sz val="11"/>
      <color rgb="FFF8971D"/>
      <name val="Arial"/>
      <family val="2"/>
    </font>
    <font>
      <b/>
      <u/>
      <sz val="11"/>
      <color rgb="FFFF0000"/>
      <name val="Arial"/>
      <family val="2"/>
    </font>
    <font>
      <b/>
      <u/>
      <sz val="12"/>
      <color rgb="FFF8971D"/>
      <name val="Arial"/>
      <family val="2"/>
    </font>
    <font>
      <sz val="11"/>
      <color rgb="FF000000"/>
      <name val="Calibri"/>
      <family val="2"/>
      <scheme val="minor"/>
    </font>
    <font>
      <sz val="11"/>
      <color rgb="FF000000"/>
      <name val="Arial"/>
      <family val="2"/>
    </font>
    <font>
      <u/>
      <sz val="11"/>
      <name val="Arial"/>
      <family val="2"/>
    </font>
    <font>
      <sz val="11"/>
      <color theme="1"/>
      <name val="Calibri"/>
      <family val="2"/>
      <scheme val="minor"/>
    </font>
    <font>
      <sz val="8"/>
      <color rgb="FFFF0000"/>
      <name val="Calibri"/>
      <family val="2"/>
      <scheme val="minor"/>
    </font>
    <font>
      <b/>
      <sz val="9"/>
      <color rgb="FFFF0000"/>
      <name val="Arial"/>
      <family val="2"/>
    </font>
    <font>
      <b/>
      <sz val="12"/>
      <color rgb="FFFF0000"/>
      <name val="Arial"/>
      <family val="2"/>
    </font>
    <font>
      <b/>
      <sz val="12"/>
      <color rgb="FFFF0000"/>
      <name val="Calibri"/>
      <family val="2"/>
      <scheme val="minor"/>
    </font>
    <font>
      <b/>
      <sz val="11"/>
      <name val="Arial"/>
      <family val="2"/>
    </font>
    <font>
      <u/>
      <sz val="11"/>
      <color theme="10"/>
      <name val="Arial"/>
      <family val="2"/>
    </font>
    <font>
      <sz val="8"/>
      <color theme="1"/>
      <name val="Arial"/>
      <family val="2"/>
    </font>
    <font>
      <sz val="8"/>
      <color rgb="FFFF0000"/>
      <name val="Arial"/>
      <family val="2"/>
    </font>
    <font>
      <b/>
      <sz val="11"/>
      <color rgb="FF331188"/>
      <name val="Arial"/>
      <family val="2"/>
    </font>
    <font>
      <sz val="12"/>
      <color theme="1"/>
      <name val="Arial"/>
      <family val="2"/>
    </font>
    <font>
      <b/>
      <sz val="11"/>
      <color rgb="FFFF0000"/>
      <name val="Arial"/>
      <family val="2"/>
    </font>
    <font>
      <sz val="11"/>
      <name val="Calibri"/>
      <family val="2"/>
      <scheme val="minor"/>
    </font>
    <font>
      <b/>
      <u/>
      <sz val="11"/>
      <name val="Arial"/>
      <family val="2"/>
    </font>
    <font>
      <b/>
      <sz val="11"/>
      <color rgb="FF000000"/>
      <name val="Arial"/>
      <family val="2"/>
    </font>
    <font>
      <b/>
      <sz val="11"/>
      <color theme="0"/>
      <name val="Arial"/>
      <family val="2"/>
    </font>
    <font>
      <b/>
      <sz val="11"/>
      <color rgb="FFFFFFFF"/>
      <name val="Arial"/>
      <family val="2"/>
    </font>
    <font>
      <b/>
      <sz val="11"/>
      <color rgb="FF005EB8"/>
      <name val="Arial"/>
      <family val="2"/>
    </font>
    <font>
      <b/>
      <sz val="12"/>
      <color theme="1"/>
      <name val="Arial"/>
      <family val="2"/>
    </font>
    <font>
      <sz val="11"/>
      <color theme="0"/>
      <name val="Arial"/>
      <family val="2"/>
    </font>
    <font>
      <i/>
      <sz val="11"/>
      <color theme="1"/>
      <name val="Calibri"/>
      <family val="2"/>
      <scheme val="minor"/>
    </font>
    <font>
      <sz val="14"/>
      <color theme="1"/>
      <name val="Calibri"/>
      <family val="2"/>
      <scheme val="minor"/>
    </font>
    <font>
      <b/>
      <sz val="18"/>
      <color theme="1"/>
      <name val="Arial"/>
      <family val="2"/>
    </font>
    <font>
      <sz val="14"/>
      <color theme="1"/>
      <name val="Arial"/>
      <family val="2"/>
    </font>
    <font>
      <sz val="10"/>
      <color theme="1"/>
      <name val="Arial"/>
      <family val="2"/>
    </font>
    <font>
      <b/>
      <sz val="10"/>
      <color theme="1"/>
      <name val="Arial"/>
      <family val="2"/>
    </font>
    <font>
      <i/>
      <sz val="10"/>
      <color theme="1"/>
      <name val="Arial"/>
      <family val="2"/>
    </font>
    <font>
      <sz val="10"/>
      <name val="Arial"/>
      <family val="2"/>
    </font>
    <font>
      <sz val="10"/>
      <color theme="1"/>
      <name val="Calibri"/>
      <family val="2"/>
      <scheme val="minor"/>
    </font>
    <font>
      <b/>
      <sz val="10"/>
      <color theme="1"/>
      <name val="Calibri"/>
      <family val="2"/>
      <scheme val="minor"/>
    </font>
    <font>
      <u/>
      <sz val="12"/>
      <color theme="10"/>
      <name val="Arial"/>
      <family val="2"/>
    </font>
    <font>
      <sz val="11"/>
      <color theme="1"/>
      <name val="Arial"/>
      <family val="2"/>
    </font>
    <font>
      <sz val="11"/>
      <color theme="1"/>
      <name val="Arial"/>
      <family val="2"/>
    </font>
    <font>
      <sz val="11"/>
      <color theme="1"/>
      <name val="Arial"/>
      <family val="2"/>
    </font>
    <font>
      <sz val="11"/>
      <color theme="1"/>
      <name val="Georgia"/>
      <family val="1"/>
    </font>
    <font>
      <sz val="11"/>
      <color theme="1"/>
      <name val="Arial"/>
      <family val="2"/>
    </font>
    <font>
      <sz val="11"/>
      <color theme="1"/>
      <name val="Arial"/>
    </font>
  </fonts>
  <fills count="2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7C2855"/>
        <bgColor indexed="64"/>
      </patternFill>
    </fill>
    <fill>
      <patternFill patternType="solid">
        <fgColor rgb="FFF1D3E3"/>
        <bgColor indexed="64"/>
      </patternFill>
    </fill>
    <fill>
      <patternFill patternType="solid">
        <fgColor rgb="FFE1F9FF"/>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5EB8"/>
        <bgColor indexed="64"/>
      </patternFill>
    </fill>
    <fill>
      <patternFill patternType="solid">
        <fgColor rgb="FFFF00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331188"/>
      </left>
      <right style="thick">
        <color rgb="FF331188"/>
      </right>
      <top style="thin">
        <color indexed="64"/>
      </top>
      <bottom style="thin">
        <color indexed="64"/>
      </bottom>
      <diagonal/>
    </border>
    <border>
      <left style="thick">
        <color rgb="FF331188"/>
      </left>
      <right style="thick">
        <color rgb="FF331188"/>
      </right>
      <top style="thin">
        <color theme="1"/>
      </top>
      <bottom style="thin">
        <color theme="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ck">
        <color rgb="FF331188"/>
      </left>
      <right/>
      <top style="thin">
        <color indexed="64"/>
      </top>
      <bottom/>
      <diagonal/>
    </border>
    <border>
      <left style="thick">
        <color rgb="FF331188"/>
      </left>
      <right/>
      <top style="thin">
        <color theme="1"/>
      </top>
      <bottom/>
      <diagonal/>
    </border>
    <border>
      <left style="thin">
        <color indexed="64"/>
      </left>
      <right/>
      <top style="thin">
        <color indexed="64"/>
      </top>
      <bottom/>
      <diagonal/>
    </border>
    <border>
      <left style="thick">
        <color rgb="FF331188"/>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331188"/>
      </left>
      <right/>
      <top style="thin">
        <color indexed="64"/>
      </top>
      <bottom/>
      <diagonal/>
    </border>
    <border>
      <left style="thin">
        <color indexed="64"/>
      </left>
      <right style="thin">
        <color indexed="64"/>
      </right>
      <top style="thin">
        <color indexed="64"/>
      </top>
      <bottom style="thin">
        <color indexed="64"/>
      </bottom>
      <diagonal/>
    </border>
    <border>
      <left/>
      <right style="thick">
        <color rgb="FF331188"/>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thin">
        <color indexed="64"/>
      </left>
      <right style="thick">
        <color rgb="FF331188"/>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auto="1"/>
      </bottom>
      <diagonal/>
    </border>
    <border>
      <left/>
      <right/>
      <top style="thin">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ck">
        <color rgb="FF331188"/>
      </right>
      <top style="thin">
        <color auto="1"/>
      </top>
      <bottom/>
      <diagonal/>
    </border>
    <border>
      <left/>
      <right/>
      <top style="thin">
        <color theme="1"/>
      </top>
      <bottom/>
      <diagonal/>
    </border>
  </borders>
  <cellStyleXfs count="6">
    <xf numFmtId="0" fontId="0" fillId="0" borderId="0"/>
    <xf numFmtId="0" fontId="10" fillId="0" borderId="0"/>
    <xf numFmtId="0" fontId="11" fillId="0" borderId="0" applyNumberFormat="0" applyFill="0" applyBorder="0" applyAlignment="0" applyProtection="0"/>
    <xf numFmtId="0" fontId="3" fillId="0" borderId="0"/>
    <xf numFmtId="44" fontId="21" fillId="0" borderId="0" applyFont="0" applyFill="0" applyBorder="0" applyAlignment="0" applyProtection="0"/>
    <xf numFmtId="9" fontId="21" fillId="0" borderId="0" applyFont="0" applyFill="0" applyBorder="0" applyAlignment="0" applyProtection="0"/>
  </cellStyleXfs>
  <cellXfs count="643">
    <xf numFmtId="0" fontId="0" fillId="0" borderId="0" xfId="0"/>
    <xf numFmtId="0" fontId="0" fillId="0" borderId="0" xfId="0" applyFont="1" applyAlignment="1">
      <alignment wrapText="1"/>
    </xf>
    <xf numFmtId="0" fontId="0" fillId="0" borderId="0" xfId="0" applyFont="1"/>
    <xf numFmtId="0" fontId="0" fillId="2" borderId="0" xfId="0" applyFill="1"/>
    <xf numFmtId="0" fontId="0" fillId="0" borderId="0" xfId="0" applyFont="1" applyBorder="1" applyAlignment="1">
      <alignment wrapText="1"/>
    </xf>
    <xf numFmtId="0" fontId="10" fillId="0" borderId="0" xfId="0" applyFont="1" applyFill="1" applyBorder="1" applyAlignment="1">
      <alignment horizontal="left" vertical="center" wrapText="1"/>
    </xf>
    <xf numFmtId="0" fontId="0" fillId="2" borderId="0" xfId="0" applyFill="1" applyProtection="1"/>
    <xf numFmtId="0" fontId="0" fillId="2" borderId="0" xfId="0" applyFill="1" applyAlignment="1" applyProtection="1">
      <alignment horizontal="center"/>
    </xf>
    <xf numFmtId="0" fontId="0" fillId="3" borderId="0" xfId="0" applyFill="1" applyProtection="1"/>
    <xf numFmtId="0" fontId="14" fillId="2" borderId="0" xfId="0" applyFont="1" applyFill="1" applyProtection="1"/>
    <xf numFmtId="0" fontId="15" fillId="2" borderId="0" xfId="0" applyFont="1" applyFill="1" applyProtection="1"/>
    <xf numFmtId="0" fontId="16" fillId="2" borderId="0" xfId="0" applyFont="1" applyFill="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17" fillId="0" borderId="0" xfId="0" applyFont="1" applyProtection="1"/>
    <xf numFmtId="0" fontId="6" fillId="2" borderId="0" xfId="0" applyFont="1" applyFill="1" applyBorder="1" applyAlignment="1" applyProtection="1">
      <alignment horizontal="right" vertical="center"/>
    </xf>
    <xf numFmtId="0" fontId="8" fillId="2" borderId="0" xfId="0" applyFont="1" applyFill="1" applyBorder="1" applyAlignment="1" applyProtection="1">
      <alignment horizontal="center"/>
    </xf>
    <xf numFmtId="0" fontId="9" fillId="2" borderId="0" xfId="0" applyFont="1" applyFill="1" applyProtection="1"/>
    <xf numFmtId="0" fontId="9" fillId="2" borderId="0" xfId="0" applyFont="1" applyFill="1" applyAlignment="1" applyProtection="1">
      <alignment vertical="top"/>
    </xf>
    <xf numFmtId="0" fontId="0" fillId="3" borderId="0" xfId="0" applyFill="1" applyAlignment="1" applyProtection="1">
      <alignment horizontal="center"/>
    </xf>
    <xf numFmtId="0" fontId="11" fillId="2" borderId="0" xfId="2" applyFill="1" applyBorder="1" applyAlignment="1" applyProtection="1"/>
    <xf numFmtId="0" fontId="10" fillId="2" borderId="0" xfId="0" applyFont="1" applyFill="1" applyAlignment="1">
      <alignment wrapText="1"/>
    </xf>
    <xf numFmtId="0" fontId="10" fillId="2" borderId="0" xfId="0" applyFont="1" applyFill="1"/>
    <xf numFmtId="0" fontId="10" fillId="0" borderId="3" xfId="0" applyNumberFormat="1" applyFont="1" applyBorder="1" applyAlignment="1" applyProtection="1">
      <alignment wrapText="1"/>
    </xf>
    <xf numFmtId="0" fontId="8" fillId="0" borderId="0" xfId="0" applyFont="1" applyFill="1" applyBorder="1" applyAlignment="1">
      <alignment vertical="top"/>
    </xf>
    <xf numFmtId="0" fontId="19" fillId="0" borderId="0" xfId="0" applyFont="1"/>
    <xf numFmtId="0" fontId="0" fillId="0" borderId="0" xfId="0"/>
    <xf numFmtId="0" fontId="0" fillId="2" borderId="0" xfId="0" applyFill="1" applyAlignment="1"/>
    <xf numFmtId="0" fontId="10" fillId="0" borderId="0" xfId="0" applyNumberFormat="1" applyFont="1" applyBorder="1" applyAlignment="1" applyProtection="1">
      <alignment wrapText="1"/>
    </xf>
    <xf numFmtId="0" fontId="10" fillId="2" borderId="0" xfId="0" applyFont="1" applyFill="1" applyBorder="1" applyAlignment="1">
      <alignment horizontal="left" vertical="center" wrapText="1"/>
    </xf>
    <xf numFmtId="0" fontId="5" fillId="0" borderId="14" xfId="0" applyFont="1" applyBorder="1"/>
    <xf numFmtId="0" fontId="0" fillId="0" borderId="14" xfId="0" applyFont="1" applyBorder="1"/>
    <xf numFmtId="0" fontId="18" fillId="0" borderId="14" xfId="0" applyFont="1" applyBorder="1"/>
    <xf numFmtId="0" fontId="0" fillId="0" borderId="26" xfId="0" applyBorder="1"/>
    <xf numFmtId="44" fontId="13" fillId="6" borderId="25" xfId="0" applyNumberFormat="1" applyFont="1" applyFill="1" applyBorder="1" applyAlignment="1" applyProtection="1">
      <alignment horizontal="left" vertical="center" wrapText="1"/>
      <protection locked="0"/>
    </xf>
    <xf numFmtId="0" fontId="8" fillId="0" borderId="0" xfId="0" applyFont="1" applyAlignment="1">
      <alignment wrapText="1"/>
    </xf>
    <xf numFmtId="0" fontId="2" fillId="0" borderId="0" xfId="0" applyFont="1" applyAlignment="1">
      <alignment wrapText="1"/>
    </xf>
    <xf numFmtId="0" fontId="13" fillId="5" borderId="28" xfId="0" applyFont="1" applyFill="1" applyBorder="1" applyAlignment="1" applyProtection="1">
      <alignment vertical="top" wrapText="1"/>
      <protection locked="0"/>
    </xf>
    <xf numFmtId="44" fontId="0" fillId="0" borderId="0" xfId="0" applyNumberFormat="1" applyBorder="1" applyAlignment="1">
      <alignment vertical="center"/>
    </xf>
    <xf numFmtId="44" fontId="6" fillId="2" borderId="0" xfId="0" applyNumberFormat="1" applyFont="1" applyFill="1" applyBorder="1" applyAlignment="1" applyProtection="1">
      <alignment vertical="center"/>
    </xf>
    <xf numFmtId="0" fontId="0" fillId="2" borderId="0" xfId="0" applyFill="1" applyBorder="1" applyProtection="1"/>
    <xf numFmtId="0" fontId="23" fillId="2" borderId="0" xfId="0" applyFont="1" applyFill="1" applyBorder="1" applyAlignment="1" applyProtection="1">
      <alignment horizontal="center" vertical="center"/>
    </xf>
    <xf numFmtId="44" fontId="0" fillId="2" borderId="0" xfId="4" applyFont="1" applyFill="1" applyBorder="1" applyAlignment="1">
      <alignment vertical="center"/>
    </xf>
    <xf numFmtId="44" fontId="0" fillId="2" borderId="0" xfId="0" applyNumberFormat="1" applyFill="1" applyBorder="1" applyAlignment="1">
      <alignment vertical="center"/>
    </xf>
    <xf numFmtId="0" fontId="5" fillId="0" borderId="0" xfId="0" applyFont="1"/>
    <xf numFmtId="0" fontId="5" fillId="0" borderId="0" xfId="0" applyFont="1" applyAlignment="1">
      <alignment wrapText="1"/>
    </xf>
    <xf numFmtId="0" fontId="5" fillId="8" borderId="9" xfId="0" applyFont="1" applyFill="1" applyBorder="1" applyAlignment="1">
      <alignment horizontal="center"/>
    </xf>
    <xf numFmtId="0" fontId="5" fillId="8" borderId="0" xfId="0" applyFont="1" applyFill="1" applyBorder="1" applyAlignment="1">
      <alignment horizontal="center"/>
    </xf>
    <xf numFmtId="0" fontId="5" fillId="0" borderId="0" xfId="0" applyFont="1" applyAlignment="1">
      <alignment horizontal="center"/>
    </xf>
    <xf numFmtId="9" fontId="25" fillId="2" borderId="0" xfId="0" applyNumberFormat="1" applyFont="1" applyFill="1" applyBorder="1" applyAlignment="1" applyProtection="1">
      <alignment horizontal="left"/>
    </xf>
    <xf numFmtId="44" fontId="6" fillId="2" borderId="0" xfId="0" applyNumberFormat="1" applyFont="1" applyFill="1" applyBorder="1" applyAlignment="1" applyProtection="1">
      <alignment horizontal="center" vertical="center"/>
    </xf>
    <xf numFmtId="9" fontId="6"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wrapText="1"/>
    </xf>
    <xf numFmtId="3" fontId="10" fillId="2" borderId="0" xfId="0" applyNumberFormat="1" applyFont="1" applyFill="1" applyBorder="1" applyAlignment="1" applyProtection="1">
      <alignment wrapText="1"/>
    </xf>
    <xf numFmtId="0" fontId="26" fillId="4" borderId="28" xfId="0" applyFont="1" applyFill="1" applyBorder="1" applyAlignment="1" applyProtection="1">
      <alignment vertical="top" wrapText="1"/>
    </xf>
    <xf numFmtId="0" fontId="12" fillId="0" borderId="0" xfId="0" applyFont="1" applyAlignment="1">
      <alignment wrapText="1"/>
    </xf>
    <xf numFmtId="0" fontId="1" fillId="0" borderId="5" xfId="0" applyFont="1" applyBorder="1" applyAlignment="1" applyProtection="1">
      <alignment vertical="center" wrapText="1"/>
      <protection locked="0"/>
    </xf>
    <xf numFmtId="0" fontId="0" fillId="0" borderId="0" xfId="0" applyBorder="1"/>
    <xf numFmtId="0" fontId="0" fillId="0" borderId="30" xfId="0" applyFont="1" applyBorder="1"/>
    <xf numFmtId="0" fontId="0" fillId="0" borderId="0" xfId="0" applyFont="1" applyBorder="1"/>
    <xf numFmtId="0" fontId="5" fillId="0" borderId="30" xfId="0" applyFont="1" applyBorder="1"/>
    <xf numFmtId="0" fontId="1" fillId="9" borderId="3" xfId="0" applyFont="1" applyFill="1" applyBorder="1" applyAlignment="1">
      <alignment horizontal="left" vertical="center" wrapText="1"/>
    </xf>
    <xf numFmtId="0" fontId="4" fillId="9" borderId="3" xfId="0" applyFont="1" applyFill="1" applyBorder="1" applyAlignment="1">
      <alignment horizontal="left" vertical="center" wrapText="1"/>
    </xf>
    <xf numFmtId="0" fontId="5" fillId="2" borderId="0" xfId="0" applyFont="1" applyFill="1" applyBorder="1"/>
    <xf numFmtId="0" fontId="5" fillId="2" borderId="0" xfId="0" applyFont="1" applyFill="1" applyBorder="1" applyAlignment="1">
      <alignment horizontal="center"/>
    </xf>
    <xf numFmtId="0" fontId="5" fillId="2" borderId="0" xfId="0" applyFont="1" applyFill="1" applyBorder="1" applyAlignment="1">
      <alignment wrapText="1"/>
    </xf>
    <xf numFmtId="0" fontId="1" fillId="0" borderId="0" xfId="0" applyFont="1" applyAlignment="1">
      <alignment wrapText="1"/>
    </xf>
    <xf numFmtId="0" fontId="8" fillId="2" borderId="0" xfId="0" applyFont="1" applyFill="1" applyBorder="1" applyAlignment="1">
      <alignment wrapText="1"/>
    </xf>
    <xf numFmtId="0" fontId="8" fillId="2" borderId="0" xfId="0" applyFont="1" applyFill="1" applyBorder="1" applyAlignment="1" applyProtection="1">
      <alignment vertical="center"/>
    </xf>
    <xf numFmtId="44" fontId="8"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44" fontId="8" fillId="2" borderId="0" xfId="4" applyFont="1" applyFill="1" applyBorder="1" applyAlignment="1">
      <alignment vertical="center"/>
    </xf>
    <xf numFmtId="0" fontId="1" fillId="0" borderId="28" xfId="0" applyFont="1" applyBorder="1" applyAlignment="1" applyProtection="1">
      <alignment vertical="center" wrapText="1"/>
      <protection locked="0"/>
    </xf>
    <xf numFmtId="0" fontId="1" fillId="0" borderId="0" xfId="0" applyFont="1" applyBorder="1" applyAlignment="1">
      <alignment vertical="center" wrapText="1"/>
    </xf>
    <xf numFmtId="0" fontId="1" fillId="0" borderId="0" xfId="0" applyFont="1"/>
    <xf numFmtId="0" fontId="1" fillId="0" borderId="3" xfId="0" applyNumberFormat="1" applyFont="1" applyBorder="1" applyAlignment="1" applyProtection="1">
      <alignment wrapText="1"/>
    </xf>
    <xf numFmtId="0" fontId="1" fillId="0" borderId="0" xfId="0" applyNumberFormat="1" applyFont="1" applyBorder="1" applyAlignment="1" applyProtection="1">
      <alignment wrapText="1"/>
    </xf>
    <xf numFmtId="0" fontId="27" fillId="2" borderId="0" xfId="2" applyFont="1" applyFill="1" applyBorder="1" applyAlignment="1" applyProtection="1"/>
    <xf numFmtId="0" fontId="27" fillId="2" borderId="0" xfId="2" applyFont="1" applyFill="1" applyBorder="1" applyAlignment="1" applyProtection="1">
      <alignment wrapText="1"/>
    </xf>
    <xf numFmtId="0" fontId="1" fillId="2" borderId="0" xfId="0" applyFont="1" applyFill="1" applyProtection="1"/>
    <xf numFmtId="0" fontId="1" fillId="2" borderId="14" xfId="0" applyFont="1" applyFill="1" applyBorder="1" applyAlignment="1" applyProtection="1">
      <alignment vertical="top" wrapText="1"/>
    </xf>
    <xf numFmtId="0" fontId="28" fillId="2" borderId="0" xfId="0" applyFont="1" applyFill="1" applyProtection="1"/>
    <xf numFmtId="44" fontId="1" fillId="2" borderId="15" xfId="4" applyNumberFormat="1" applyFont="1" applyFill="1" applyBorder="1" applyAlignment="1" applyProtection="1">
      <alignment horizontal="left" vertical="top"/>
    </xf>
    <xf numFmtId="0" fontId="1" fillId="2" borderId="0" xfId="0" applyNumberFormat="1" applyFont="1" applyFill="1" applyBorder="1" applyAlignment="1" applyProtection="1">
      <alignment wrapText="1"/>
    </xf>
    <xf numFmtId="0" fontId="1" fillId="3" borderId="0" xfId="0" applyFont="1" applyFill="1" applyProtection="1"/>
    <xf numFmtId="3" fontId="1" fillId="2" borderId="0" xfId="0" applyNumberFormat="1" applyFont="1" applyFill="1" applyBorder="1" applyAlignment="1" applyProtection="1">
      <alignment wrapText="1"/>
    </xf>
    <xf numFmtId="0" fontId="1" fillId="2" borderId="0" xfId="0" applyFont="1" applyFill="1" applyAlignment="1"/>
    <xf numFmtId="0" fontId="1" fillId="2" borderId="0" xfId="0" applyFont="1" applyFill="1" applyAlignment="1" applyProtection="1">
      <alignment horizontal="center"/>
    </xf>
    <xf numFmtId="0" fontId="1" fillId="2" borderId="19" xfId="0" applyFont="1" applyFill="1" applyBorder="1" applyAlignment="1" applyProtection="1">
      <alignment vertical="top" wrapText="1"/>
    </xf>
    <xf numFmtId="0" fontId="28" fillId="3" borderId="0" xfId="0" applyFont="1" applyFill="1" applyProtection="1"/>
    <xf numFmtId="0" fontId="1" fillId="2" borderId="0" xfId="0" applyFont="1" applyFill="1" applyAlignment="1">
      <alignment wrapText="1"/>
    </xf>
    <xf numFmtId="0" fontId="1" fillId="2" borderId="0" xfId="0" applyFont="1" applyFill="1"/>
    <xf numFmtId="0" fontId="1" fillId="0" borderId="0" xfId="0" applyFont="1" applyBorder="1" applyAlignment="1">
      <alignment vertical="top"/>
    </xf>
    <xf numFmtId="0" fontId="1" fillId="2" borderId="33" xfId="0" applyFont="1" applyFill="1" applyBorder="1" applyAlignment="1" applyProtection="1">
      <alignment vertical="top" wrapText="1"/>
    </xf>
    <xf numFmtId="0" fontId="8" fillId="9" borderId="9" xfId="0" applyFont="1" applyFill="1" applyBorder="1" applyAlignment="1" applyProtection="1">
      <alignment vertical="top" wrapText="1"/>
    </xf>
    <xf numFmtId="0" fontId="8" fillId="9" borderId="19" xfId="0" applyFont="1" applyFill="1" applyBorder="1" applyAlignment="1" applyProtection="1">
      <alignment horizontal="left" vertical="top" wrapText="1"/>
    </xf>
    <xf numFmtId="0" fontId="8" fillId="9" borderId="19" xfId="0" applyFont="1" applyFill="1" applyBorder="1" applyAlignment="1" applyProtection="1">
      <alignment horizontal="center" vertical="top" wrapText="1"/>
    </xf>
    <xf numFmtId="0" fontId="8" fillId="9" borderId="20" xfId="0" applyFont="1" applyFill="1" applyBorder="1" applyAlignment="1" applyProtection="1">
      <alignment vertical="top" wrapText="1"/>
    </xf>
    <xf numFmtId="0" fontId="1" fillId="9" borderId="22" xfId="0" applyFont="1" applyFill="1" applyBorder="1" applyAlignment="1" applyProtection="1">
      <alignment horizontal="center"/>
      <protection locked="0"/>
    </xf>
    <xf numFmtId="0" fontId="12" fillId="7" borderId="19" xfId="0" applyFont="1" applyFill="1" applyBorder="1" applyAlignment="1" applyProtection="1">
      <alignment horizontal="center" vertical="center" wrapText="1"/>
      <protection locked="0"/>
    </xf>
    <xf numFmtId="0" fontId="1" fillId="7" borderId="34" xfId="0" applyFont="1" applyFill="1" applyBorder="1" applyAlignment="1" applyProtection="1">
      <alignment wrapText="1"/>
      <protection locked="0"/>
    </xf>
    <xf numFmtId="1" fontId="32" fillId="7" borderId="32" xfId="0" applyNumberFormat="1" applyFont="1" applyFill="1" applyBorder="1" applyAlignment="1" applyProtection="1">
      <alignment horizontal="center" wrapText="1"/>
      <protection locked="0"/>
    </xf>
    <xf numFmtId="0" fontId="8" fillId="7" borderId="22" xfId="0" applyFont="1" applyFill="1" applyBorder="1" applyAlignment="1" applyProtection="1">
      <alignment horizontal="center" vertical="top"/>
      <protection locked="0"/>
    </xf>
    <xf numFmtId="0" fontId="8" fillId="7" borderId="2" xfId="0" applyFont="1" applyFill="1" applyBorder="1" applyAlignment="1" applyProtection="1">
      <alignment horizontal="center" vertical="top"/>
      <protection locked="0"/>
    </xf>
    <xf numFmtId="0" fontId="1" fillId="2" borderId="19" xfId="0" applyFont="1" applyFill="1" applyBorder="1" applyAlignment="1" applyProtection="1">
      <alignment vertical="top"/>
    </xf>
    <xf numFmtId="0" fontId="1" fillId="2" borderId="9" xfId="0" applyFont="1" applyFill="1" applyBorder="1" applyAlignment="1" applyProtection="1">
      <alignment vertical="top"/>
    </xf>
    <xf numFmtId="44" fontId="1" fillId="2" borderId="33" xfId="4" applyNumberFormat="1" applyFont="1" applyFill="1" applyBorder="1" applyAlignment="1" applyProtection="1">
      <alignment horizontal="center"/>
    </xf>
    <xf numFmtId="0" fontId="1" fillId="2" borderId="0" xfId="0" applyFont="1" applyFill="1" applyAlignment="1" applyProtection="1">
      <alignment vertical="top"/>
    </xf>
    <xf numFmtId="0" fontId="1" fillId="3" borderId="0" xfId="0" applyFont="1" applyFill="1" applyAlignment="1" applyProtection="1">
      <alignment vertical="top"/>
    </xf>
    <xf numFmtId="0" fontId="1" fillId="9" borderId="9" xfId="0" applyFont="1" applyFill="1" applyBorder="1" applyAlignment="1" applyProtection="1">
      <alignment wrapText="1"/>
      <protection locked="0"/>
    </xf>
    <xf numFmtId="0" fontId="1" fillId="9" borderId="19" xfId="0" applyFont="1" applyFill="1" applyBorder="1" applyAlignment="1" applyProtection="1">
      <alignment wrapText="1"/>
      <protection locked="0"/>
    </xf>
    <xf numFmtId="1" fontId="1" fillId="9" borderId="19" xfId="0" applyNumberFormat="1" applyFont="1" applyFill="1" applyBorder="1" applyAlignment="1" applyProtection="1">
      <alignment horizontal="center" wrapText="1"/>
      <protection locked="0"/>
    </xf>
    <xf numFmtId="0" fontId="8" fillId="2" borderId="29"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7" borderId="2" xfId="0" applyFont="1" applyFill="1" applyBorder="1" applyAlignment="1" applyProtection="1">
      <alignment horizontal="center"/>
      <protection locked="0"/>
    </xf>
    <xf numFmtId="44" fontId="1" fillId="2" borderId="19" xfId="4" applyFont="1" applyFill="1" applyBorder="1" applyProtection="1"/>
    <xf numFmtId="44" fontId="1" fillId="2" borderId="19" xfId="4" applyNumberFormat="1" applyFont="1" applyFill="1" applyBorder="1" applyAlignment="1" applyProtection="1">
      <alignment horizontal="center"/>
    </xf>
    <xf numFmtId="0" fontId="1" fillId="9" borderId="23" xfId="0" applyFont="1" applyFill="1" applyBorder="1" applyAlignment="1" applyProtection="1">
      <alignment wrapText="1"/>
      <protection locked="0"/>
    </xf>
    <xf numFmtId="0" fontId="1" fillId="4" borderId="0" xfId="0" applyFont="1" applyFill="1" applyProtection="1"/>
    <xf numFmtId="0" fontId="1" fillId="9" borderId="9" xfId="2" applyFont="1" applyFill="1" applyBorder="1" applyAlignment="1" applyProtection="1">
      <alignment wrapText="1"/>
      <protection locked="0"/>
    </xf>
    <xf numFmtId="0" fontId="8" fillId="2" borderId="24" xfId="0" applyFont="1" applyFill="1" applyBorder="1" applyAlignment="1" applyProtection="1">
      <alignment horizontal="center"/>
      <protection locked="0"/>
    </xf>
    <xf numFmtId="0" fontId="8" fillId="2" borderId="0" xfId="0" applyFont="1" applyFill="1" applyBorder="1" applyAlignment="1" applyProtection="1">
      <alignment horizontal="center" vertical="center"/>
    </xf>
    <xf numFmtId="9" fontId="8" fillId="2" borderId="0" xfId="0" applyNumberFormat="1" applyFont="1" applyFill="1" applyBorder="1" applyAlignment="1" applyProtection="1">
      <alignment horizontal="center" vertical="center"/>
    </xf>
    <xf numFmtId="0" fontId="0" fillId="2" borderId="0" xfId="0" applyFont="1" applyFill="1" applyProtection="1"/>
    <xf numFmtId="0" fontId="32" fillId="2" borderId="0" xfId="0" applyFont="1" applyFill="1" applyAlignment="1"/>
    <xf numFmtId="0" fontId="1" fillId="7" borderId="32" xfId="0" applyFont="1" applyFill="1" applyBorder="1" applyAlignment="1" applyProtection="1">
      <alignment wrapText="1"/>
      <protection locked="0"/>
    </xf>
    <xf numFmtId="0" fontId="1" fillId="7" borderId="31" xfId="0" applyFont="1" applyFill="1" applyBorder="1" applyAlignment="1" applyProtection="1">
      <alignment wrapText="1"/>
      <protection locked="0"/>
    </xf>
    <xf numFmtId="0" fontId="31" fillId="2" borderId="0" xfId="0" applyFont="1" applyFill="1" applyProtection="1"/>
    <xf numFmtId="0" fontId="31" fillId="0" borderId="0" xfId="0" applyFont="1"/>
    <xf numFmtId="0" fontId="31" fillId="2" borderId="0" xfId="0" applyFont="1" applyFill="1" applyAlignment="1" applyProtection="1">
      <alignment horizontal="center"/>
    </xf>
    <xf numFmtId="0" fontId="1" fillId="7" borderId="9" xfId="0" applyFont="1" applyFill="1" applyBorder="1" applyAlignment="1" applyProtection="1">
      <alignment wrapText="1"/>
      <protection locked="0"/>
    </xf>
    <xf numFmtId="0" fontId="1" fillId="7" borderId="19" xfId="0" applyFont="1" applyFill="1" applyBorder="1" applyAlignment="1" applyProtection="1">
      <alignment wrapText="1"/>
      <protection locked="0"/>
    </xf>
    <xf numFmtId="1" fontId="32" fillId="7" borderId="19" xfId="0" applyNumberFormat="1" applyFont="1" applyFill="1" applyBorder="1" applyAlignment="1" applyProtection="1">
      <alignment horizontal="center" wrapText="1"/>
      <protection locked="0"/>
    </xf>
    <xf numFmtId="44" fontId="1" fillId="2" borderId="0" xfId="4" applyNumberFormat="1" applyFont="1" applyFill="1" applyBorder="1" applyAlignment="1" applyProtection="1">
      <alignment horizontal="center"/>
    </xf>
    <xf numFmtId="0" fontId="0" fillId="2" borderId="0" xfId="0" applyFont="1" applyFill="1"/>
    <xf numFmtId="0" fontId="32" fillId="7" borderId="34" xfId="0" applyFont="1" applyFill="1" applyBorder="1" applyAlignment="1" applyProtection="1">
      <alignment horizontal="center" vertical="top" wrapText="1"/>
    </xf>
    <xf numFmtId="44" fontId="19" fillId="10" borderId="33" xfId="4" applyFont="1" applyFill="1" applyBorder="1" applyAlignment="1" applyProtection="1">
      <alignment horizontal="center"/>
    </xf>
    <xf numFmtId="0" fontId="0" fillId="2" borderId="0" xfId="0" applyFont="1" applyFill="1" applyAlignment="1" applyProtection="1">
      <alignment vertical="top"/>
    </xf>
    <xf numFmtId="0" fontId="8" fillId="9" borderId="30" xfId="0" applyFont="1" applyFill="1" applyBorder="1" applyAlignment="1" applyProtection="1">
      <alignment vertical="top" wrapText="1"/>
    </xf>
    <xf numFmtId="0" fontId="8" fillId="9" borderId="30" xfId="0" applyFont="1" applyFill="1" applyBorder="1" applyAlignment="1" applyProtection="1">
      <alignment horizontal="left" vertical="top" wrapText="1"/>
    </xf>
    <xf numFmtId="0" fontId="1" fillId="7" borderId="0" xfId="0" applyFont="1" applyFill="1" applyAlignment="1" applyProtection="1">
      <alignment horizontal="left" vertical="top"/>
    </xf>
    <xf numFmtId="0" fontId="32" fillId="7" borderId="0" xfId="0" applyFont="1" applyFill="1" applyAlignment="1" applyProtection="1">
      <alignment horizontal="center" vertical="top" wrapText="1"/>
    </xf>
    <xf numFmtId="0" fontId="8" fillId="7" borderId="6" xfId="0" applyFont="1" applyFill="1" applyBorder="1" applyAlignment="1" applyProtection="1">
      <alignment horizontal="center" vertical="top"/>
      <protection locked="0"/>
    </xf>
    <xf numFmtId="44" fontId="1" fillId="2" borderId="25" xfId="0" applyNumberFormat="1" applyFont="1" applyFill="1" applyBorder="1" applyAlignment="1" applyProtection="1">
      <alignment horizontal="left" vertical="top"/>
    </xf>
    <xf numFmtId="44" fontId="1" fillId="2" borderId="27" xfId="0" applyNumberFormat="1" applyFont="1" applyFill="1" applyBorder="1" applyAlignment="1" applyProtection="1">
      <alignment horizontal="left" vertical="top"/>
    </xf>
    <xf numFmtId="0" fontId="1" fillId="2" borderId="0" xfId="0" applyFont="1" applyFill="1" applyAlignment="1" applyProtection="1">
      <alignment horizontal="left" vertical="top"/>
    </xf>
    <xf numFmtId="0" fontId="1" fillId="9" borderId="1" xfId="0" applyFont="1" applyFill="1" applyBorder="1" applyAlignment="1" applyProtection="1">
      <alignment wrapText="1"/>
      <protection locked="0"/>
    </xf>
    <xf numFmtId="1" fontId="1" fillId="9" borderId="1" xfId="0" applyNumberFormat="1" applyFont="1" applyFill="1" applyBorder="1" applyAlignment="1" applyProtection="1">
      <alignment horizontal="center" wrapText="1"/>
      <protection locked="0"/>
    </xf>
    <xf numFmtId="44" fontId="1" fillId="2" borderId="26" xfId="4" applyFont="1" applyFill="1" applyBorder="1" applyProtection="1"/>
    <xf numFmtId="44" fontId="1" fillId="2" borderId="33" xfId="4" applyNumberFormat="1" applyFont="1" applyFill="1" applyBorder="1" applyProtection="1"/>
    <xf numFmtId="0" fontId="17" fillId="0" borderId="8" xfId="0" applyFont="1" applyBorder="1" applyProtection="1"/>
    <xf numFmtId="0" fontId="5" fillId="0" borderId="33" xfId="0" applyFont="1" applyBorder="1"/>
    <xf numFmtId="0" fontId="0" fillId="0" borderId="33" xfId="0" applyBorder="1"/>
    <xf numFmtId="0" fontId="32" fillId="2" borderId="0" xfId="0" applyFont="1" applyFill="1" applyBorder="1" applyAlignment="1" applyProtection="1">
      <alignment vertical="center"/>
    </xf>
    <xf numFmtId="0" fontId="27" fillId="9" borderId="3" xfId="2" applyFont="1" applyFill="1" applyBorder="1" applyAlignment="1">
      <alignment horizontal="left" vertical="center" wrapText="1"/>
    </xf>
    <xf numFmtId="0" fontId="13" fillId="5" borderId="38" xfId="0" applyFont="1" applyFill="1" applyBorder="1" applyAlignment="1" applyProtection="1">
      <alignment horizontal="center" vertical="top" wrapText="1"/>
      <protection locked="0"/>
    </xf>
    <xf numFmtId="0" fontId="1" fillId="0" borderId="38" xfId="0" applyFont="1" applyBorder="1" applyAlignment="1" applyProtection="1">
      <alignment wrapText="1"/>
    </xf>
    <xf numFmtId="0" fontId="1" fillId="2" borderId="38" xfId="0" applyFont="1" applyFill="1" applyBorder="1" applyAlignment="1" applyProtection="1">
      <alignment wrapText="1"/>
    </xf>
    <xf numFmtId="0" fontId="1" fillId="4" borderId="38" xfId="0" applyFont="1" applyFill="1" applyBorder="1" applyAlignment="1" applyProtection="1">
      <alignment wrapText="1"/>
    </xf>
    <xf numFmtId="0" fontId="0" fillId="0" borderId="38" xfId="0" applyBorder="1"/>
    <xf numFmtId="0" fontId="12" fillId="2" borderId="0" xfId="0" applyFont="1" applyFill="1" applyBorder="1" applyAlignment="1" applyProtection="1"/>
    <xf numFmtId="0" fontId="29" fillId="2" borderId="0" xfId="0" applyFont="1" applyFill="1" applyBorder="1" applyAlignment="1" applyProtection="1"/>
    <xf numFmtId="0" fontId="22" fillId="2" borderId="0" xfId="0" applyFont="1" applyFill="1" applyBorder="1" applyAlignment="1" applyProtection="1"/>
    <xf numFmtId="0" fontId="1" fillId="2" borderId="38" xfId="0" applyFont="1" applyFill="1" applyBorder="1" applyAlignment="1" applyProtection="1">
      <alignment vertical="top" wrapText="1"/>
    </xf>
    <xf numFmtId="44" fontId="1" fillId="2" borderId="34" xfId="0" applyNumberFormat="1" applyFont="1" applyFill="1" applyBorder="1" applyAlignment="1" applyProtection="1">
      <alignment horizontal="left" vertical="top"/>
    </xf>
    <xf numFmtId="44" fontId="1" fillId="2" borderId="38" xfId="4" applyFont="1" applyFill="1" applyBorder="1" applyProtection="1"/>
    <xf numFmtId="0" fontId="1" fillId="2" borderId="23" xfId="0" applyFont="1" applyFill="1" applyBorder="1" applyAlignment="1" applyProtection="1">
      <alignment vertical="top" wrapText="1"/>
    </xf>
    <xf numFmtId="44" fontId="1" fillId="2" borderId="9" xfId="0" applyNumberFormat="1" applyFont="1" applyFill="1" applyBorder="1" applyAlignment="1" applyProtection="1">
      <alignment vertical="top"/>
    </xf>
    <xf numFmtId="0" fontId="1" fillId="9" borderId="39" xfId="0" applyFont="1" applyFill="1" applyBorder="1" applyAlignment="1" applyProtection="1">
      <alignment horizontal="left" vertical="top" wrapText="1"/>
    </xf>
    <xf numFmtId="44" fontId="8" fillId="2" borderId="0" xfId="0" applyNumberFormat="1" applyFont="1" applyFill="1" applyBorder="1" applyAlignment="1">
      <alignment horizontal="center" vertical="center"/>
    </xf>
    <xf numFmtId="44" fontId="8" fillId="2" borderId="9" xfId="0" applyNumberFormat="1" applyFont="1" applyFill="1" applyBorder="1" applyAlignment="1">
      <alignment horizontal="center" vertical="center"/>
    </xf>
    <xf numFmtId="0" fontId="5" fillId="2" borderId="0" xfId="0" applyFont="1" applyFill="1"/>
    <xf numFmtId="44" fontId="32" fillId="2" borderId="0" xfId="0" applyNumberFormat="1" applyFont="1" applyFill="1" applyBorder="1" applyAlignment="1">
      <alignment horizontal="center" vertical="center"/>
    </xf>
    <xf numFmtId="44" fontId="32" fillId="2" borderId="0" xfId="0" applyNumberFormat="1" applyFont="1" applyFill="1" applyBorder="1" applyAlignment="1" applyProtection="1">
      <alignment horizontal="center" vertical="center"/>
    </xf>
    <xf numFmtId="0" fontId="5" fillId="7" borderId="15" xfId="0" applyFont="1" applyFill="1" applyBorder="1" applyAlignment="1">
      <alignment horizontal="center"/>
    </xf>
    <xf numFmtId="44" fontId="8" fillId="0" borderId="15" xfId="0" applyNumberFormat="1" applyFont="1" applyBorder="1"/>
    <xf numFmtId="0" fontId="5" fillId="7" borderId="41" xfId="0" applyFont="1" applyFill="1" applyBorder="1" applyAlignment="1">
      <alignment horizontal="center"/>
    </xf>
    <xf numFmtId="44" fontId="1" fillId="7" borderId="15" xfId="0" applyNumberFormat="1" applyFont="1" applyFill="1" applyBorder="1" applyAlignment="1">
      <alignment vertical="center" wrapText="1"/>
    </xf>
    <xf numFmtId="0" fontId="1" fillId="7" borderId="41" xfId="0" applyFont="1" applyFill="1" applyBorder="1" applyAlignment="1">
      <alignment vertical="center" wrapText="1"/>
    </xf>
    <xf numFmtId="44" fontId="1" fillId="0" borderId="41" xfId="0" applyNumberFormat="1" applyFont="1" applyBorder="1" applyAlignment="1">
      <alignment vertical="center" wrapText="1"/>
    </xf>
    <xf numFmtId="0" fontId="1" fillId="0" borderId="42" xfId="0" applyFont="1" applyBorder="1" applyAlignment="1">
      <alignment wrapText="1"/>
    </xf>
    <xf numFmtId="0" fontId="1" fillId="0" borderId="36" xfId="0" applyFont="1" applyBorder="1" applyAlignment="1">
      <alignment wrapText="1"/>
    </xf>
    <xf numFmtId="0" fontId="33" fillId="0" borderId="42" xfId="0" applyFont="1" applyBorder="1" applyAlignment="1">
      <alignment horizontal="left" wrapText="1"/>
    </xf>
    <xf numFmtId="0" fontId="13" fillId="0" borderId="42" xfId="0" applyFont="1" applyBorder="1" applyAlignment="1"/>
    <xf numFmtId="0" fontId="33" fillId="4" borderId="42" xfId="0" applyFont="1" applyFill="1" applyBorder="1" applyAlignment="1">
      <alignment horizontal="left"/>
    </xf>
    <xf numFmtId="0" fontId="33" fillId="4" borderId="42" xfId="0" applyFont="1" applyFill="1" applyBorder="1" applyAlignment="1">
      <alignment horizontal="left" wrapText="1"/>
    </xf>
    <xf numFmtId="0" fontId="0" fillId="2" borderId="0" xfId="0" applyFill="1" applyBorder="1" applyAlignment="1" applyProtection="1"/>
    <xf numFmtId="44" fontId="1" fillId="2" borderId="41" xfId="4" applyFont="1" applyFill="1" applyBorder="1" applyAlignment="1">
      <alignment horizontal="center" vertical="center"/>
    </xf>
    <xf numFmtId="44" fontId="8" fillId="0" borderId="15" xfId="0" applyNumberFormat="1" applyFont="1" applyBorder="1" applyAlignment="1">
      <alignment vertical="center" wrapText="1"/>
    </xf>
    <xf numFmtId="0" fontId="8" fillId="0" borderId="0" xfId="0" applyFont="1"/>
    <xf numFmtId="0" fontId="8" fillId="0" borderId="14" xfId="0" applyFont="1" applyBorder="1"/>
    <xf numFmtId="0" fontId="13" fillId="0" borderId="4" xfId="0" applyFont="1" applyBorder="1"/>
    <xf numFmtId="0" fontId="13" fillId="0" borderId="39" xfId="0" applyFont="1" applyBorder="1"/>
    <xf numFmtId="0" fontId="1" fillId="0" borderId="42" xfId="0" applyFont="1" applyBorder="1"/>
    <xf numFmtId="0" fontId="13" fillId="0" borderId="42" xfId="0" applyFont="1" applyBorder="1"/>
    <xf numFmtId="0" fontId="8" fillId="0" borderId="0" xfId="0" applyFont="1" applyFill="1" applyBorder="1"/>
    <xf numFmtId="0" fontId="1" fillId="0" borderId="0" xfId="0" applyFont="1" applyFill="1" applyBorder="1"/>
    <xf numFmtId="0" fontId="8" fillId="0" borderId="0" xfId="0" applyFont="1" applyFill="1"/>
    <xf numFmtId="0" fontId="1" fillId="0" borderId="0" xfId="0" applyFont="1" applyFill="1"/>
    <xf numFmtId="0" fontId="8" fillId="0" borderId="42" xfId="0" applyFont="1" applyBorder="1"/>
    <xf numFmtId="0" fontId="0" fillId="2" borderId="0" xfId="0" applyFill="1" applyAlignment="1" applyProtection="1"/>
    <xf numFmtId="0" fontId="1" fillId="2" borderId="0" xfId="0" applyFont="1" applyFill="1" applyAlignment="1" applyProtection="1"/>
    <xf numFmtId="0" fontId="0" fillId="0" borderId="0" xfId="0" applyAlignment="1"/>
    <xf numFmtId="0" fontId="13" fillId="2" borderId="4" xfId="0" applyFont="1" applyFill="1" applyBorder="1"/>
    <xf numFmtId="0" fontId="8" fillId="0" borderId="0" xfId="0" applyFont="1" applyBorder="1"/>
    <xf numFmtId="0" fontId="1" fillId="2" borderId="42" xfId="0" applyFont="1" applyFill="1" applyBorder="1" applyAlignment="1">
      <alignment wrapText="1"/>
    </xf>
    <xf numFmtId="0" fontId="8" fillId="12" borderId="0" xfId="0" applyFont="1" applyFill="1" applyBorder="1" applyAlignment="1">
      <alignment horizontal="center" vertical="center" wrapText="1"/>
    </xf>
    <xf numFmtId="44" fontId="1" fillId="2" borderId="40" xfId="0" applyNumberFormat="1" applyFont="1" applyFill="1" applyBorder="1" applyAlignment="1" applyProtection="1">
      <alignment horizontal="left" vertical="center" wrapText="1"/>
    </xf>
    <xf numFmtId="0" fontId="13" fillId="0" borderId="42" xfId="0" applyFont="1" applyBorder="1" applyAlignment="1">
      <alignment wrapText="1"/>
    </xf>
    <xf numFmtId="0" fontId="1" fillId="4" borderId="42" xfId="0" applyFont="1" applyFill="1" applyBorder="1"/>
    <xf numFmtId="0" fontId="32" fillId="0" borderId="0" xfId="0" applyFont="1"/>
    <xf numFmtId="0" fontId="1" fillId="9" borderId="23" xfId="0" applyFont="1" applyFill="1" applyBorder="1" applyAlignment="1" applyProtection="1">
      <alignment horizontal="left" vertical="top" wrapText="1"/>
    </xf>
    <xf numFmtId="0" fontId="8" fillId="9" borderId="42" xfId="0" applyFont="1" applyFill="1" applyBorder="1" applyAlignment="1" applyProtection="1">
      <alignment horizontal="left" vertical="top" wrapText="1"/>
    </xf>
    <xf numFmtId="0" fontId="8" fillId="4" borderId="42" xfId="0" applyFont="1" applyFill="1" applyBorder="1"/>
    <xf numFmtId="0" fontId="0" fillId="0" borderId="0" xfId="0" applyFill="1" applyBorder="1"/>
    <xf numFmtId="0" fontId="5" fillId="0" borderId="0" xfId="0" applyFont="1" applyBorder="1"/>
    <xf numFmtId="0" fontId="0" fillId="0" borderId="42" xfId="0" applyBorder="1"/>
    <xf numFmtId="0" fontId="0" fillId="0" borderId="33" xfId="0" applyFill="1" applyBorder="1"/>
    <xf numFmtId="0" fontId="12" fillId="0" borderId="0" xfId="0" applyFont="1"/>
    <xf numFmtId="44" fontId="1" fillId="4" borderId="33" xfId="4" applyNumberFormat="1" applyFont="1" applyFill="1" applyBorder="1" applyAlignment="1" applyProtection="1">
      <alignment horizontal="center"/>
    </xf>
    <xf numFmtId="0" fontId="12" fillId="2" borderId="33" xfId="0" applyFont="1" applyFill="1" applyBorder="1" applyAlignment="1" applyProtection="1">
      <alignment vertical="top" wrapText="1"/>
    </xf>
    <xf numFmtId="0" fontId="19" fillId="0" borderId="37" xfId="0" applyFont="1" applyBorder="1" applyAlignment="1">
      <alignment vertical="center"/>
    </xf>
    <xf numFmtId="0" fontId="19" fillId="2" borderId="39" xfId="0" applyFont="1" applyFill="1" applyBorder="1" applyAlignment="1">
      <alignment vertical="center" wrapText="1"/>
    </xf>
    <xf numFmtId="0" fontId="5" fillId="2" borderId="14" xfId="0" applyFont="1" applyFill="1" applyBorder="1"/>
    <xf numFmtId="0" fontId="0" fillId="2" borderId="14" xfId="0" applyFont="1" applyFill="1" applyBorder="1"/>
    <xf numFmtId="0" fontId="13" fillId="5" borderId="43" xfId="0" applyFont="1" applyFill="1" applyBorder="1" applyAlignment="1" applyProtection="1">
      <alignment vertical="top" wrapText="1"/>
      <protection locked="0"/>
    </xf>
    <xf numFmtId="0" fontId="8" fillId="2" borderId="14" xfId="0" applyFont="1" applyFill="1" applyBorder="1"/>
    <xf numFmtId="0" fontId="1" fillId="2" borderId="42" xfId="0" applyFont="1" applyFill="1" applyBorder="1"/>
    <xf numFmtId="0" fontId="13" fillId="2" borderId="42" xfId="0" applyFont="1" applyFill="1" applyBorder="1"/>
    <xf numFmtId="0" fontId="1" fillId="2" borderId="14" xfId="0" applyFont="1" applyFill="1" applyBorder="1"/>
    <xf numFmtId="0" fontId="1" fillId="2" borderId="4" xfId="0" applyFont="1" applyFill="1" applyBorder="1"/>
    <xf numFmtId="0" fontId="13" fillId="2" borderId="42" xfId="3" applyFont="1" applyFill="1" applyBorder="1" applyAlignment="1">
      <alignment horizontal="left" vertical="center" wrapText="1"/>
    </xf>
    <xf numFmtId="0" fontId="1" fillId="2" borderId="4" xfId="0" applyFont="1" applyFill="1" applyBorder="1" applyAlignment="1">
      <alignment horizontal="left"/>
    </xf>
    <xf numFmtId="0" fontId="1" fillId="2" borderId="0" xfId="0" applyFont="1" applyFill="1" applyBorder="1"/>
    <xf numFmtId="0" fontId="39" fillId="0" borderId="0" xfId="0" applyFont="1"/>
    <xf numFmtId="44" fontId="8" fillId="2" borderId="26" xfId="0" applyNumberFormat="1" applyFont="1" applyFill="1" applyBorder="1" applyAlignment="1" applyProtection="1">
      <alignment horizontal="center" vertical="center"/>
    </xf>
    <xf numFmtId="0" fontId="35" fillId="11" borderId="61" xfId="0" applyFont="1" applyFill="1" applyBorder="1" applyAlignment="1">
      <alignment vertical="center" wrapText="1"/>
    </xf>
    <xf numFmtId="0" fontId="35" fillId="11" borderId="63" xfId="0" applyFont="1" applyFill="1" applyBorder="1" applyAlignment="1">
      <alignment vertical="center" wrapText="1"/>
    </xf>
    <xf numFmtId="0" fontId="35" fillId="11" borderId="65" xfId="0" applyFont="1" applyFill="1" applyBorder="1" applyAlignment="1">
      <alignment vertical="center" wrapText="1"/>
    </xf>
    <xf numFmtId="0" fontId="36" fillId="13" borderId="67" xfId="0" applyFont="1" applyFill="1" applyBorder="1" applyAlignment="1">
      <alignment vertical="center" wrapText="1"/>
    </xf>
    <xf numFmtId="44" fontId="36" fillId="13" borderId="68" xfId="0" applyNumberFormat="1" applyFont="1" applyFill="1" applyBorder="1" applyAlignment="1">
      <alignment horizontal="left" vertical="center" wrapText="1"/>
    </xf>
    <xf numFmtId="0" fontId="37" fillId="13" borderId="36" xfId="0" applyFont="1" applyFill="1" applyBorder="1" applyAlignment="1">
      <alignment vertical="center" wrapText="1"/>
    </xf>
    <xf numFmtId="44" fontId="26" fillId="14" borderId="62" xfId="0" applyNumberFormat="1" applyFont="1" applyFill="1" applyBorder="1" applyAlignment="1" applyProtection="1">
      <alignment horizontal="left" vertical="center"/>
    </xf>
    <xf numFmtId="44" fontId="26" fillId="14" borderId="64" xfId="0" applyNumberFormat="1" applyFont="1" applyFill="1" applyBorder="1" applyAlignment="1" applyProtection="1">
      <alignment horizontal="left" vertical="center"/>
    </xf>
    <xf numFmtId="44" fontId="8" fillId="14" borderId="64" xfId="0" applyNumberFormat="1" applyFont="1" applyFill="1" applyBorder="1" applyAlignment="1">
      <alignment horizontal="left" vertical="center" wrapText="1"/>
    </xf>
    <xf numFmtId="44" fontId="8" fillId="14" borderId="66" xfId="0" applyNumberFormat="1" applyFont="1" applyFill="1" applyBorder="1" applyAlignment="1">
      <alignment horizontal="left" vertical="center" wrapText="1"/>
    </xf>
    <xf numFmtId="0" fontId="8" fillId="9" borderId="52" xfId="0" applyFont="1" applyFill="1" applyBorder="1" applyAlignment="1" applyProtection="1">
      <alignment horizontal="left" vertical="center" wrapText="1"/>
    </xf>
    <xf numFmtId="0" fontId="5" fillId="0" borderId="9" xfId="0" applyFont="1" applyFill="1" applyBorder="1"/>
    <xf numFmtId="0" fontId="5" fillId="0" borderId="0" xfId="0" applyFont="1" applyFill="1" applyBorder="1"/>
    <xf numFmtId="0" fontId="8" fillId="7" borderId="42" xfId="0" applyFont="1" applyFill="1" applyBorder="1" applyAlignment="1">
      <alignment horizontal="center" vertical="center"/>
    </xf>
    <xf numFmtId="0" fontId="5" fillId="7" borderId="42" xfId="0" applyFont="1" applyFill="1" applyBorder="1" applyAlignment="1">
      <alignment horizontal="center"/>
    </xf>
    <xf numFmtId="44" fontId="1" fillId="2" borderId="42" xfId="4" applyFont="1" applyFill="1" applyBorder="1" applyAlignment="1">
      <alignment horizontal="center" vertical="center"/>
    </xf>
    <xf numFmtId="0" fontId="8" fillId="7" borderId="42" xfId="0" applyFont="1" applyFill="1" applyBorder="1" applyAlignment="1">
      <alignment horizontal="center" vertical="center" wrapText="1"/>
    </xf>
    <xf numFmtId="0" fontId="1" fillId="9" borderId="42" xfId="0" applyFont="1" applyFill="1" applyBorder="1" applyAlignment="1">
      <alignment horizontal="left" vertical="center"/>
    </xf>
    <xf numFmtId="0" fontId="1" fillId="2" borderId="42" xfId="0" applyFont="1" applyFill="1" applyBorder="1" applyAlignment="1">
      <alignment horizontal="right" vertical="center"/>
    </xf>
    <xf numFmtId="0" fontId="1" fillId="9" borderId="42" xfId="0" applyFont="1" applyFill="1" applyBorder="1" applyAlignment="1" applyProtection="1">
      <alignment horizontal="left" vertical="top" wrapText="1"/>
    </xf>
    <xf numFmtId="0" fontId="8" fillId="7" borderId="42" xfId="0" applyFont="1" applyFill="1" applyBorder="1" applyAlignment="1">
      <alignment vertical="center" wrapText="1"/>
    </xf>
    <xf numFmtId="44" fontId="1" fillId="0" borderId="42" xfId="0" applyNumberFormat="1" applyFont="1" applyBorder="1" applyAlignment="1">
      <alignment vertical="center" wrapText="1"/>
    </xf>
    <xf numFmtId="0" fontId="36" fillId="16" borderId="15" xfId="3" applyFont="1" applyFill="1" applyBorder="1" applyAlignment="1" applyProtection="1">
      <alignment vertical="center" wrapText="1"/>
    </xf>
    <xf numFmtId="0" fontId="37" fillId="16" borderId="16" xfId="0" applyFont="1" applyFill="1" applyBorder="1" applyAlignment="1">
      <alignment vertical="center"/>
    </xf>
    <xf numFmtId="0" fontId="37" fillId="16" borderId="17" xfId="0" applyFont="1" applyFill="1" applyBorder="1" applyAlignment="1">
      <alignment vertical="center"/>
    </xf>
    <xf numFmtId="0" fontId="36" fillId="16" borderId="14" xfId="0" applyFont="1" applyFill="1" applyBorder="1"/>
    <xf numFmtId="0" fontId="36" fillId="16" borderId="36" xfId="0" applyFont="1" applyFill="1" applyBorder="1"/>
    <xf numFmtId="0" fontId="36" fillId="16" borderId="4" xfId="0" applyFont="1" applyFill="1" applyBorder="1"/>
    <xf numFmtId="0" fontId="36" fillId="16" borderId="39" xfId="0" applyFont="1" applyFill="1" applyBorder="1"/>
    <xf numFmtId="0" fontId="36" fillId="16" borderId="14" xfId="0" applyFont="1" applyFill="1" applyBorder="1" applyAlignment="1">
      <alignment horizontal="left"/>
    </xf>
    <xf numFmtId="0" fontId="36" fillId="16" borderId="42" xfId="0" applyFont="1" applyFill="1" applyBorder="1"/>
    <xf numFmtId="0" fontId="40" fillId="0" borderId="0" xfId="0" applyFont="1"/>
    <xf numFmtId="0" fontId="1" fillId="4" borderId="26" xfId="0" applyFont="1" applyFill="1" applyBorder="1"/>
    <xf numFmtId="0" fontId="1" fillId="4" borderId="26" xfId="0" applyFont="1" applyFill="1" applyBorder="1" applyAlignment="1">
      <alignment horizontal="center"/>
    </xf>
    <xf numFmtId="0" fontId="1" fillId="2" borderId="38" xfId="3" applyFont="1" applyFill="1" applyBorder="1" applyAlignment="1" applyProtection="1">
      <alignment wrapText="1"/>
    </xf>
    <xf numFmtId="0" fontId="13" fillId="0" borderId="42" xfId="3" applyFont="1" applyFill="1" applyBorder="1" applyAlignment="1">
      <alignment wrapText="1"/>
    </xf>
    <xf numFmtId="0" fontId="13" fillId="2" borderId="42" xfId="3" applyFont="1" applyFill="1" applyBorder="1" applyAlignment="1">
      <alignment wrapText="1"/>
    </xf>
    <xf numFmtId="8" fontId="13" fillId="5" borderId="42" xfId="0" applyNumberFormat="1" applyFont="1" applyFill="1" applyBorder="1" applyAlignment="1"/>
    <xf numFmtId="0" fontId="13" fillId="5" borderId="42" xfId="0" applyFont="1" applyFill="1" applyBorder="1" applyAlignment="1" applyProtection="1">
      <alignment wrapText="1"/>
    </xf>
    <xf numFmtId="0" fontId="13" fillId="5" borderId="38" xfId="3" applyFont="1" applyFill="1" applyBorder="1" applyAlignment="1" applyProtection="1">
      <alignment wrapText="1"/>
    </xf>
    <xf numFmtId="0" fontId="13" fillId="5" borderId="38" xfId="0" applyFont="1" applyFill="1" applyBorder="1" applyAlignment="1" applyProtection="1">
      <alignment wrapText="1"/>
      <protection locked="0"/>
    </xf>
    <xf numFmtId="0" fontId="13" fillId="2" borderId="42" xfId="0" applyFont="1" applyFill="1" applyBorder="1" applyAlignment="1" applyProtection="1">
      <alignment wrapText="1"/>
    </xf>
    <xf numFmtId="0" fontId="13" fillId="0" borderId="42" xfId="0" applyFont="1" applyBorder="1" applyAlignment="1">
      <alignment horizontal="left"/>
    </xf>
    <xf numFmtId="0" fontId="13" fillId="5" borderId="42" xfId="0" applyFont="1" applyFill="1" applyBorder="1" applyAlignment="1" applyProtection="1">
      <alignment horizontal="left" wrapText="1"/>
      <protection locked="0"/>
    </xf>
    <xf numFmtId="0" fontId="13" fillId="0" borderId="0" xfId="0" applyFont="1" applyAlignment="1">
      <alignment wrapText="1"/>
    </xf>
    <xf numFmtId="0" fontId="36" fillId="16" borderId="15" xfId="3" applyFont="1" applyFill="1" applyBorder="1" applyAlignment="1" applyProtection="1">
      <alignment horizontal="left" wrapText="1"/>
    </xf>
    <xf numFmtId="0" fontId="13" fillId="5" borderId="42" xfId="3" applyFont="1" applyFill="1" applyBorder="1" applyAlignment="1" applyProtection="1">
      <alignment horizontal="left" wrapText="1"/>
      <protection locked="0"/>
    </xf>
    <xf numFmtId="0" fontId="1" fillId="0" borderId="42" xfId="0" applyFont="1" applyBorder="1" applyAlignment="1">
      <alignment horizontal="left" wrapText="1"/>
    </xf>
    <xf numFmtId="0" fontId="13" fillId="2" borderId="42" xfId="3" applyFont="1" applyFill="1" applyBorder="1" applyAlignment="1">
      <alignment horizontal="left" wrapText="1"/>
    </xf>
    <xf numFmtId="0" fontId="13" fillId="2" borderId="42" xfId="0" applyFont="1" applyFill="1" applyBorder="1" applyAlignment="1">
      <alignment horizontal="left"/>
    </xf>
    <xf numFmtId="0" fontId="13" fillId="4" borderId="26" xfId="0" applyFont="1" applyFill="1" applyBorder="1" applyAlignment="1" applyProtection="1">
      <alignment horizontal="left" wrapText="1"/>
    </xf>
    <xf numFmtId="0" fontId="13" fillId="5" borderId="26" xfId="0" applyFont="1" applyFill="1" applyBorder="1" applyAlignment="1" applyProtection="1">
      <alignment horizontal="left" wrapText="1"/>
      <protection locked="0"/>
    </xf>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46" fillId="0" borderId="0" xfId="0" applyFont="1" applyAlignment="1">
      <alignment horizontal="center"/>
    </xf>
    <xf numFmtId="3" fontId="47" fillId="0" borderId="0" xfId="0" applyNumberFormat="1" applyFont="1"/>
    <xf numFmtId="0" fontId="46" fillId="0" borderId="39" xfId="0" applyFont="1" applyBorder="1"/>
    <xf numFmtId="0" fontId="45" fillId="0" borderId="34" xfId="0" applyFont="1" applyBorder="1"/>
    <xf numFmtId="0" fontId="46" fillId="0" borderId="37" xfId="0" applyFont="1" applyBorder="1" applyAlignment="1">
      <alignment horizontal="center"/>
    </xf>
    <xf numFmtId="0" fontId="45" fillId="0" borderId="0" xfId="0" applyFont="1" applyBorder="1"/>
    <xf numFmtId="0" fontId="45" fillId="0" borderId="0" xfId="0" applyFont="1" applyBorder="1" applyAlignment="1">
      <alignment horizontal="center"/>
    </xf>
    <xf numFmtId="9" fontId="45" fillId="0" borderId="0" xfId="0" applyNumberFormat="1" applyFont="1" applyBorder="1" applyAlignment="1">
      <alignment horizontal="center"/>
    </xf>
    <xf numFmtId="167" fontId="45" fillId="0" borderId="0" xfId="0" applyNumberFormat="1" applyFont="1" applyBorder="1" applyAlignment="1">
      <alignment horizontal="center"/>
    </xf>
    <xf numFmtId="0" fontId="45" fillId="0" borderId="69" xfId="0" applyFont="1" applyBorder="1" applyAlignment="1">
      <alignment horizontal="center"/>
    </xf>
    <xf numFmtId="0" fontId="47" fillId="0" borderId="17" xfId="0" applyFont="1" applyBorder="1"/>
    <xf numFmtId="0" fontId="47" fillId="0" borderId="0" xfId="0" applyFont="1" applyAlignment="1">
      <alignment horizontal="center"/>
    </xf>
    <xf numFmtId="0" fontId="46" fillId="0" borderId="39" xfId="0" applyFont="1" applyBorder="1" applyAlignment="1">
      <alignment horizontal="left" vertical="center" wrapText="1"/>
    </xf>
    <xf numFmtId="0" fontId="46" fillId="0" borderId="34" xfId="0" applyFont="1" applyBorder="1" applyAlignment="1">
      <alignment horizontal="center" vertical="center" wrapText="1"/>
    </xf>
    <xf numFmtId="0" fontId="46" fillId="0" borderId="36" xfId="0" applyFont="1" applyBorder="1" applyAlignment="1">
      <alignment horizontal="center" vertical="center" wrapText="1"/>
    </xf>
    <xf numFmtId="0" fontId="45" fillId="18" borderId="2" xfId="0" applyFont="1" applyFill="1" applyBorder="1"/>
    <xf numFmtId="0" fontId="45" fillId="18" borderId="0" xfId="0" applyFont="1" applyFill="1" applyBorder="1" applyAlignment="1">
      <alignment horizontal="center"/>
    </xf>
    <xf numFmtId="166" fontId="45" fillId="18" borderId="0" xfId="0" applyNumberFormat="1" applyFont="1" applyFill="1" applyBorder="1" applyAlignment="1">
      <alignment horizontal="center"/>
    </xf>
    <xf numFmtId="166" fontId="45" fillId="18" borderId="0" xfId="0" applyNumberFormat="1" applyFont="1" applyFill="1" applyBorder="1"/>
    <xf numFmtId="166" fontId="45" fillId="0" borderId="70" xfId="0" applyNumberFormat="1" applyFont="1" applyBorder="1"/>
    <xf numFmtId="166" fontId="45" fillId="0" borderId="0" xfId="0" applyNumberFormat="1" applyFont="1" applyBorder="1" applyAlignment="1">
      <alignment horizontal="center"/>
    </xf>
    <xf numFmtId="166" fontId="45" fillId="0" borderId="0" xfId="0" applyNumberFormat="1" applyFont="1" applyBorder="1"/>
    <xf numFmtId="0" fontId="46" fillId="0" borderId="34" xfId="0" applyFont="1" applyBorder="1"/>
    <xf numFmtId="166" fontId="46" fillId="0" borderId="34" xfId="0" applyNumberFormat="1" applyFont="1" applyFill="1" applyBorder="1"/>
    <xf numFmtId="0" fontId="46" fillId="0" borderId="37" xfId="0" applyFont="1" applyBorder="1" applyAlignment="1">
      <alignment horizontal="center" vertical="center" wrapText="1"/>
    </xf>
    <xf numFmtId="166" fontId="45" fillId="18" borderId="69" xfId="0" applyNumberFormat="1" applyFont="1" applyFill="1" applyBorder="1"/>
    <xf numFmtId="166" fontId="45" fillId="0" borderId="69" xfId="0" applyNumberFormat="1" applyFont="1" applyBorder="1"/>
    <xf numFmtId="0" fontId="45" fillId="0" borderId="0" xfId="0" applyFont="1" applyFill="1" applyBorder="1" applyAlignment="1">
      <alignment horizontal="center"/>
    </xf>
    <xf numFmtId="166" fontId="45" fillId="0" borderId="0" xfId="0" applyNumberFormat="1" applyFont="1" applyFill="1" applyBorder="1" applyAlignment="1">
      <alignment horizontal="center"/>
    </xf>
    <xf numFmtId="166" fontId="45" fillId="0" borderId="69" xfId="0" applyNumberFormat="1" applyFont="1" applyFill="1" applyBorder="1"/>
    <xf numFmtId="0" fontId="45" fillId="0" borderId="8" xfId="0" applyFont="1" applyBorder="1" applyAlignment="1">
      <alignment horizontal="center"/>
    </xf>
    <xf numFmtId="168" fontId="45" fillId="0" borderId="69" xfId="5" applyNumberFormat="1" applyFont="1" applyBorder="1"/>
    <xf numFmtId="166" fontId="46" fillId="0" borderId="37" xfId="0" applyNumberFormat="1" applyFont="1" applyFill="1" applyBorder="1"/>
    <xf numFmtId="166" fontId="46" fillId="17" borderId="37" xfId="0" applyNumberFormat="1" applyFont="1" applyFill="1" applyBorder="1"/>
    <xf numFmtId="166" fontId="45" fillId="0" borderId="15" xfId="0" applyNumberFormat="1" applyFont="1" applyBorder="1"/>
    <xf numFmtId="0" fontId="45" fillId="0" borderId="2" xfId="0" applyFont="1" applyFill="1" applyBorder="1"/>
    <xf numFmtId="0" fontId="45" fillId="0" borderId="39" xfId="0" applyFont="1" applyFill="1" applyBorder="1"/>
    <xf numFmtId="166" fontId="45" fillId="0" borderId="34" xfId="0" applyNumberFormat="1" applyFont="1" applyBorder="1"/>
    <xf numFmtId="0" fontId="45" fillId="0" borderId="70" xfId="0" applyFont="1" applyBorder="1"/>
    <xf numFmtId="3" fontId="45" fillId="0" borderId="0" xfId="0" applyNumberFormat="1" applyFont="1" applyFill="1" applyBorder="1"/>
    <xf numFmtId="166" fontId="45" fillId="0" borderId="0" xfId="0" applyNumberFormat="1" applyFont="1" applyFill="1" applyBorder="1"/>
    <xf numFmtId="0" fontId="46" fillId="0" borderId="42" xfId="0" applyFont="1" applyBorder="1"/>
    <xf numFmtId="166" fontId="46" fillId="0" borderId="37" xfId="0" applyNumberFormat="1" applyFont="1" applyBorder="1"/>
    <xf numFmtId="0" fontId="45" fillId="18" borderId="9" xfId="0" applyFont="1" applyFill="1" applyBorder="1"/>
    <xf numFmtId="0" fontId="45" fillId="18" borderId="18" xfId="0" applyFont="1" applyFill="1" applyBorder="1"/>
    <xf numFmtId="0" fontId="13" fillId="2" borderId="0" xfId="0" applyFont="1" applyFill="1"/>
    <xf numFmtId="0" fontId="1" fillId="9" borderId="34" xfId="0" applyFont="1" applyFill="1" applyBorder="1"/>
    <xf numFmtId="0" fontId="48" fillId="9" borderId="42" xfId="0" applyFont="1" applyFill="1" applyBorder="1"/>
    <xf numFmtId="0" fontId="45" fillId="2" borderId="0" xfId="0" applyFont="1" applyFill="1"/>
    <xf numFmtId="0" fontId="49" fillId="0" borderId="0" xfId="0" applyFont="1"/>
    <xf numFmtId="0" fontId="46" fillId="9" borderId="39" xfId="0" applyFont="1" applyFill="1" applyBorder="1"/>
    <xf numFmtId="0" fontId="46" fillId="9" borderId="34" xfId="0" applyFont="1" applyFill="1" applyBorder="1" applyAlignment="1">
      <alignment horizontal="center"/>
    </xf>
    <xf numFmtId="0" fontId="46" fillId="9" borderId="37" xfId="0" applyFont="1" applyFill="1" applyBorder="1" applyAlignment="1">
      <alignment horizontal="center"/>
    </xf>
    <xf numFmtId="0" fontId="49" fillId="0" borderId="0" xfId="0" applyFont="1" applyFill="1" applyBorder="1" applyAlignment="1">
      <alignment horizontal="center"/>
    </xf>
    <xf numFmtId="0" fontId="46" fillId="9" borderId="34" xfId="0" applyFont="1" applyFill="1" applyBorder="1"/>
    <xf numFmtId="167" fontId="46" fillId="9" borderId="34" xfId="0" applyNumberFormat="1" applyFont="1" applyFill="1" applyBorder="1" applyAlignment="1">
      <alignment horizontal="center"/>
    </xf>
    <xf numFmtId="0" fontId="50" fillId="0" borderId="0" xfId="0" applyFont="1" applyFill="1" applyBorder="1" applyAlignment="1">
      <alignment horizontal="center"/>
    </xf>
    <xf numFmtId="0" fontId="50" fillId="0" borderId="0" xfId="0" applyFont="1"/>
    <xf numFmtId="0" fontId="49" fillId="0" borderId="0" xfId="0" applyFont="1" applyAlignment="1">
      <alignment horizontal="center" vertical="center" wrapText="1"/>
    </xf>
    <xf numFmtId="0" fontId="49" fillId="0" borderId="0" xfId="0" applyFont="1" applyAlignment="1">
      <alignment wrapText="1"/>
    </xf>
    <xf numFmtId="0" fontId="45" fillId="0" borderId="2" xfId="0" applyFont="1" applyBorder="1" applyAlignment="1">
      <alignment wrapText="1"/>
    </xf>
    <xf numFmtId="0" fontId="45" fillId="0" borderId="2" xfId="0" applyFont="1" applyFill="1" applyBorder="1" applyAlignment="1">
      <alignment wrapText="1"/>
    </xf>
    <xf numFmtId="0" fontId="46" fillId="7" borderId="39" xfId="0" applyFont="1" applyFill="1" applyBorder="1"/>
    <xf numFmtId="0" fontId="46" fillId="7" borderId="37" xfId="0" applyFont="1" applyFill="1" applyBorder="1"/>
    <xf numFmtId="0" fontId="46" fillId="7" borderId="34" xfId="0" applyFont="1" applyFill="1" applyBorder="1" applyAlignment="1">
      <alignment horizontal="center"/>
    </xf>
    <xf numFmtId="0" fontId="46" fillId="7" borderId="37" xfId="0" applyFont="1" applyFill="1" applyBorder="1" applyAlignment="1">
      <alignment horizontal="center"/>
    </xf>
    <xf numFmtId="0" fontId="45" fillId="2" borderId="0" xfId="0" applyFont="1" applyFill="1" applyBorder="1" applyAlignment="1">
      <alignment horizontal="left" vertical="center"/>
    </xf>
    <xf numFmtId="0" fontId="45" fillId="2" borderId="36" xfId="0" applyFont="1" applyFill="1" applyBorder="1" applyAlignment="1">
      <alignment horizontal="left" vertical="center"/>
    </xf>
    <xf numFmtId="0" fontId="46" fillId="18" borderId="23" xfId="0" applyFont="1" applyFill="1" applyBorder="1"/>
    <xf numFmtId="166" fontId="46" fillId="2" borderId="37" xfId="0" applyNumberFormat="1" applyFont="1" applyFill="1" applyBorder="1"/>
    <xf numFmtId="44" fontId="8" fillId="2" borderId="15" xfId="0" applyNumberFormat="1" applyFont="1" applyFill="1" applyBorder="1" applyAlignment="1" applyProtection="1">
      <alignment horizontal="left" vertical="top" wrapText="1"/>
    </xf>
    <xf numFmtId="166" fontId="46" fillId="0" borderId="69" xfId="0" applyNumberFormat="1" applyFont="1" applyBorder="1"/>
    <xf numFmtId="3" fontId="46" fillId="0" borderId="69" xfId="0" applyNumberFormat="1" applyFont="1" applyBorder="1"/>
    <xf numFmtId="0" fontId="1" fillId="2" borderId="47" xfId="0" applyFont="1" applyFill="1" applyBorder="1" applyAlignment="1">
      <alignment wrapText="1"/>
    </xf>
    <xf numFmtId="0" fontId="1" fillId="2" borderId="52" xfId="0" applyFont="1" applyFill="1" applyBorder="1" applyAlignment="1">
      <alignment vertical="top" wrapText="1"/>
    </xf>
    <xf numFmtId="0" fontId="1" fillId="2" borderId="59" xfId="0" applyFont="1" applyFill="1" applyBorder="1" applyAlignment="1">
      <alignment vertical="top" wrapText="1"/>
    </xf>
    <xf numFmtId="0" fontId="1" fillId="2" borderId="48" xfId="0" applyFont="1" applyFill="1" applyBorder="1" applyAlignment="1">
      <alignment vertical="top" wrapText="1"/>
    </xf>
    <xf numFmtId="0" fontId="1" fillId="2" borderId="47" xfId="0" applyFont="1" applyFill="1" applyBorder="1" applyAlignment="1">
      <alignment vertical="top" wrapText="1"/>
    </xf>
    <xf numFmtId="0" fontId="1" fillId="2" borderId="56" xfId="0" applyFont="1" applyFill="1" applyBorder="1" applyAlignment="1">
      <alignment vertical="top" wrapText="1"/>
    </xf>
    <xf numFmtId="0" fontId="10" fillId="2" borderId="47" xfId="0" applyFont="1" applyFill="1" applyBorder="1"/>
    <xf numFmtId="0" fontId="10" fillId="2" borderId="48" xfId="0" applyFont="1" applyFill="1" applyBorder="1"/>
    <xf numFmtId="0" fontId="10" fillId="2" borderId="56" xfId="0" applyFont="1" applyFill="1" applyBorder="1"/>
    <xf numFmtId="0" fontId="10" fillId="2" borderId="47" xfId="0" applyFont="1" applyFill="1" applyBorder="1" applyAlignment="1">
      <alignment wrapText="1"/>
    </xf>
    <xf numFmtId="0" fontId="10" fillId="2" borderId="48" xfId="0" applyFont="1" applyFill="1" applyBorder="1" applyAlignment="1">
      <alignment wrapText="1"/>
    </xf>
    <xf numFmtId="0" fontId="10" fillId="2" borderId="56" xfId="0" applyFont="1" applyFill="1" applyBorder="1" applyAlignment="1">
      <alignment wrapText="1"/>
    </xf>
    <xf numFmtId="0" fontId="1" fillId="2" borderId="48" xfId="0" applyFont="1" applyFill="1" applyBorder="1" applyAlignment="1">
      <alignment wrapText="1"/>
    </xf>
    <xf numFmtId="0" fontId="10" fillId="2" borderId="52" xfId="0" applyFont="1" applyFill="1" applyBorder="1"/>
    <xf numFmtId="0" fontId="8" fillId="7" borderId="50" xfId="0" applyFont="1" applyFill="1" applyBorder="1" applyAlignment="1">
      <alignment vertical="top" wrapText="1"/>
    </xf>
    <xf numFmtId="0" fontId="8" fillId="7" borderId="49" xfId="0" applyFont="1" applyFill="1" applyBorder="1" applyAlignment="1">
      <alignment vertical="top"/>
    </xf>
    <xf numFmtId="0" fontId="8" fillId="7" borderId="51" xfId="0" applyFont="1" applyFill="1" applyBorder="1" applyAlignment="1">
      <alignment vertical="top"/>
    </xf>
    <xf numFmtId="0" fontId="8" fillId="7" borderId="51" xfId="0" applyFont="1" applyFill="1" applyBorder="1" applyAlignment="1">
      <alignment vertical="top" wrapText="1"/>
    </xf>
    <xf numFmtId="0" fontId="8" fillId="7" borderId="50" xfId="0" applyFont="1" applyFill="1" applyBorder="1" applyAlignment="1">
      <alignment vertical="top"/>
    </xf>
    <xf numFmtId="0" fontId="13" fillId="9" borderId="57" xfId="0" applyFont="1" applyFill="1" applyBorder="1"/>
    <xf numFmtId="0" fontId="13" fillId="9" borderId="58" xfId="0" applyFont="1" applyFill="1" applyBorder="1"/>
    <xf numFmtId="0" fontId="13" fillId="9" borderId="44" xfId="0" applyFont="1" applyFill="1" applyBorder="1"/>
    <xf numFmtId="0" fontId="13" fillId="9" borderId="60" xfId="0" applyFont="1" applyFill="1" applyBorder="1"/>
    <xf numFmtId="0" fontId="13" fillId="9" borderId="46" xfId="0" applyFont="1" applyFill="1" applyBorder="1"/>
    <xf numFmtId="0" fontId="13" fillId="9" borderId="44" xfId="3" applyFont="1" applyFill="1" applyBorder="1" applyAlignment="1">
      <alignment horizontal="left" vertical="center" wrapText="1"/>
    </xf>
    <xf numFmtId="0" fontId="13" fillId="9" borderId="60" xfId="3" applyFont="1" applyFill="1" applyBorder="1" applyAlignment="1">
      <alignment horizontal="left" vertical="center" wrapText="1"/>
    </xf>
    <xf numFmtId="0" fontId="13" fillId="9" borderId="46" xfId="3" applyFont="1" applyFill="1" applyBorder="1" applyAlignment="1">
      <alignment horizontal="left" vertical="center" wrapText="1"/>
    </xf>
    <xf numFmtId="0" fontId="13" fillId="9" borderId="57" xfId="3" applyFont="1" applyFill="1" applyBorder="1" applyAlignment="1">
      <alignment horizontal="left" vertical="center" wrapText="1"/>
    </xf>
    <xf numFmtId="0" fontId="13" fillId="9" borderId="34" xfId="3" applyFont="1" applyFill="1" applyBorder="1" applyAlignment="1">
      <alignment horizontal="left" vertical="center" wrapText="1"/>
    </xf>
    <xf numFmtId="0" fontId="13" fillId="9" borderId="58" xfId="3" applyFont="1" applyFill="1" applyBorder="1" applyAlignment="1">
      <alignment horizontal="left" vertical="center" wrapText="1"/>
    </xf>
    <xf numFmtId="0" fontId="13" fillId="9" borderId="34" xfId="3" applyFont="1" applyFill="1" applyBorder="1" applyAlignment="1">
      <alignment horizontal="left" vertical="top" wrapText="1"/>
    </xf>
    <xf numFmtId="0" fontId="1" fillId="2" borderId="44" xfId="0" applyFont="1" applyFill="1" applyBorder="1" applyAlignment="1">
      <alignment vertical="top"/>
    </xf>
    <xf numFmtId="0" fontId="1" fillId="2" borderId="45" xfId="0" applyFont="1" applyFill="1" applyBorder="1" applyAlignment="1">
      <alignment vertical="top"/>
    </xf>
    <xf numFmtId="0" fontId="1" fillId="2" borderId="46" xfId="0" applyFont="1" applyFill="1" applyBorder="1" applyAlignment="1">
      <alignment vertical="top"/>
    </xf>
    <xf numFmtId="0" fontId="1" fillId="2" borderId="47" xfId="0" applyFont="1" applyFill="1" applyBorder="1" applyAlignment="1">
      <alignment vertical="top"/>
    </xf>
    <xf numFmtId="0" fontId="1" fillId="2" borderId="48" xfId="0" applyFont="1" applyFill="1" applyBorder="1" applyAlignment="1">
      <alignment vertical="top"/>
    </xf>
    <xf numFmtId="0" fontId="8" fillId="7" borderId="49" xfId="0" applyFont="1" applyFill="1" applyBorder="1" applyAlignment="1">
      <alignment vertical="top" wrapText="1"/>
    </xf>
    <xf numFmtId="0" fontId="26" fillId="7" borderId="50" xfId="0" applyFont="1" applyFill="1" applyBorder="1" applyAlignment="1">
      <alignment vertical="top" wrapText="1"/>
    </xf>
    <xf numFmtId="0" fontId="26" fillId="7" borderId="51" xfId="0" applyFont="1" applyFill="1" applyBorder="1" applyAlignment="1">
      <alignment vertical="top" wrapText="1"/>
    </xf>
    <xf numFmtId="0" fontId="26" fillId="7" borderId="49" xfId="0" applyFont="1" applyFill="1" applyBorder="1" applyAlignment="1">
      <alignment vertical="top" wrapText="1"/>
    </xf>
    <xf numFmtId="0" fontId="8" fillId="7" borderId="47" xfId="0" applyFont="1" applyFill="1" applyBorder="1" applyAlignment="1"/>
    <xf numFmtId="0" fontId="1" fillId="9" borderId="47" xfId="0" applyFont="1" applyFill="1" applyBorder="1"/>
    <xf numFmtId="0" fontId="1" fillId="9" borderId="48" xfId="0" applyFont="1" applyFill="1" applyBorder="1"/>
    <xf numFmtId="0" fontId="1" fillId="9" borderId="52" xfId="0" applyFont="1" applyFill="1" applyBorder="1"/>
    <xf numFmtId="0" fontId="13" fillId="9" borderId="47" xfId="0" applyFont="1" applyFill="1" applyBorder="1"/>
    <xf numFmtId="0" fontId="13" fillId="9" borderId="48" xfId="0" applyFont="1" applyFill="1" applyBorder="1"/>
    <xf numFmtId="0" fontId="13" fillId="9" borderId="53" xfId="0" applyFont="1" applyFill="1" applyBorder="1" applyAlignment="1">
      <alignment wrapText="1"/>
    </xf>
    <xf numFmtId="0" fontId="13" fillId="9" borderId="54" xfId="0" applyFont="1" applyFill="1" applyBorder="1" applyAlignment="1">
      <alignment wrapText="1"/>
    </xf>
    <xf numFmtId="0" fontId="13" fillId="9" borderId="55" xfId="0" applyFont="1" applyFill="1" applyBorder="1" applyAlignment="1">
      <alignment wrapText="1"/>
    </xf>
    <xf numFmtId="0" fontId="13" fillId="9" borderId="53" xfId="0" applyFont="1" applyFill="1" applyBorder="1"/>
    <xf numFmtId="0" fontId="13" fillId="9" borderId="54" xfId="0" applyFont="1" applyFill="1" applyBorder="1"/>
    <xf numFmtId="0" fontId="13" fillId="9" borderId="55" xfId="0" applyFont="1" applyFill="1" applyBorder="1" applyAlignment="1" applyProtection="1">
      <alignment vertical="top" wrapText="1"/>
      <protection locked="0"/>
    </xf>
    <xf numFmtId="0" fontId="1" fillId="9" borderId="53" xfId="0" applyFont="1" applyFill="1" applyBorder="1"/>
    <xf numFmtId="0" fontId="46" fillId="7" borderId="39" xfId="0" applyFont="1" applyFill="1" applyBorder="1" applyAlignment="1">
      <alignment horizontal="left" vertical="center" wrapText="1"/>
    </xf>
    <xf numFmtId="0" fontId="46" fillId="7" borderId="34" xfId="0" applyFont="1" applyFill="1" applyBorder="1" applyAlignment="1">
      <alignment horizontal="center" vertical="center" wrapText="1"/>
    </xf>
    <xf numFmtId="9" fontId="45" fillId="18" borderId="0" xfId="0" applyNumberFormat="1" applyFont="1" applyFill="1" applyBorder="1" applyAlignment="1">
      <alignment horizontal="center"/>
    </xf>
    <xf numFmtId="167" fontId="45" fillId="18" borderId="0" xfId="0" applyNumberFormat="1" applyFont="1" applyFill="1" applyBorder="1" applyAlignment="1">
      <alignment horizontal="center"/>
    </xf>
    <xf numFmtId="0" fontId="46" fillId="7" borderId="36" xfId="0" applyFont="1" applyFill="1" applyBorder="1" applyAlignment="1">
      <alignment horizontal="center"/>
    </xf>
    <xf numFmtId="3" fontId="45" fillId="18" borderId="0" xfId="0" applyNumberFormat="1" applyFont="1" applyFill="1" applyBorder="1" applyAlignment="1">
      <alignment horizontal="center" wrapText="1"/>
    </xf>
    <xf numFmtId="3" fontId="45" fillId="18" borderId="39" xfId="0" applyNumberFormat="1" applyFont="1" applyFill="1" applyBorder="1" applyAlignment="1">
      <alignment horizontal="center" wrapText="1"/>
    </xf>
    <xf numFmtId="3" fontId="45" fillId="18" borderId="34" xfId="0" applyNumberFormat="1" applyFont="1" applyFill="1" applyBorder="1" applyAlignment="1">
      <alignment horizontal="center" wrapText="1"/>
    </xf>
    <xf numFmtId="166" fontId="45" fillId="2" borderId="0" xfId="0" applyNumberFormat="1" applyFont="1" applyFill="1" applyBorder="1"/>
    <xf numFmtId="0" fontId="45" fillId="0" borderId="17" xfId="0" applyFont="1" applyFill="1" applyBorder="1"/>
    <xf numFmtId="3" fontId="45" fillId="18" borderId="8" xfId="0" applyNumberFormat="1" applyFont="1" applyFill="1" applyBorder="1" applyAlignment="1">
      <alignment horizontal="center"/>
    </xf>
    <xf numFmtId="3" fontId="45" fillId="18" borderId="16" xfId="0" applyNumberFormat="1" applyFont="1" applyFill="1" applyBorder="1" applyAlignment="1">
      <alignment horizontal="center"/>
    </xf>
    <xf numFmtId="0" fontId="45" fillId="0" borderId="2" xfId="0" applyFont="1" applyFill="1" applyBorder="1" applyAlignment="1">
      <alignment horizontal="left" vertical="center" wrapText="1"/>
    </xf>
    <xf numFmtId="3" fontId="45" fillId="18" borderId="69" xfId="0" applyNumberFormat="1" applyFont="1" applyFill="1" applyBorder="1" applyAlignment="1">
      <alignment horizontal="center" wrapText="1"/>
    </xf>
    <xf numFmtId="0" fontId="46" fillId="7" borderId="37" xfId="0" applyFont="1" applyFill="1" applyBorder="1" applyAlignment="1">
      <alignment horizontal="center" vertical="center" wrapText="1"/>
    </xf>
    <xf numFmtId="0" fontId="45" fillId="9" borderId="42" xfId="0" applyFont="1" applyFill="1" applyBorder="1"/>
    <xf numFmtId="2" fontId="46" fillId="18" borderId="42" xfId="0" applyNumberFormat="1" applyFont="1" applyFill="1" applyBorder="1" applyAlignment="1">
      <alignment horizontal="center"/>
    </xf>
    <xf numFmtId="44" fontId="1" fillId="2" borderId="41" xfId="4" applyNumberFormat="1" applyFont="1" applyFill="1" applyBorder="1" applyAlignment="1">
      <alignment horizontal="center" vertical="center"/>
    </xf>
    <xf numFmtId="0" fontId="5" fillId="7" borderId="42" xfId="0" applyFont="1" applyFill="1" applyBorder="1" applyAlignment="1">
      <alignment wrapText="1"/>
    </xf>
    <xf numFmtId="44" fontId="8" fillId="7" borderId="15" xfId="0" applyNumberFormat="1" applyFont="1" applyFill="1" applyBorder="1"/>
    <xf numFmtId="0" fontId="8" fillId="9" borderId="71" xfId="0" applyFont="1" applyFill="1" applyBorder="1" applyAlignment="1" applyProtection="1">
      <alignment horizontal="left" vertical="center" wrapText="1"/>
    </xf>
    <xf numFmtId="44" fontId="8" fillId="2" borderId="72" xfId="4" applyFont="1" applyFill="1" applyBorder="1" applyAlignment="1">
      <alignment vertical="center"/>
    </xf>
    <xf numFmtId="0" fontId="8" fillId="9" borderId="53" xfId="0" applyFont="1" applyFill="1" applyBorder="1" applyAlignment="1" applyProtection="1">
      <alignment horizontal="left" vertical="center" wrapText="1"/>
    </xf>
    <xf numFmtId="0" fontId="8" fillId="9" borderId="54" xfId="0" applyFont="1" applyFill="1" applyBorder="1" applyAlignment="1" applyProtection="1">
      <alignment horizontal="left" vertical="center" wrapText="1"/>
    </xf>
    <xf numFmtId="44" fontId="8" fillId="2" borderId="49" xfId="4" applyFont="1" applyFill="1" applyBorder="1" applyAlignment="1">
      <alignment vertical="center"/>
    </xf>
    <xf numFmtId="44" fontId="1" fillId="15" borderId="62" xfId="4" applyFont="1" applyFill="1" applyBorder="1" applyAlignment="1">
      <alignment vertical="center"/>
    </xf>
    <xf numFmtId="44" fontId="1" fillId="15" borderId="64" xfId="4" applyFont="1" applyFill="1" applyBorder="1" applyAlignment="1">
      <alignment vertical="center"/>
    </xf>
    <xf numFmtId="44" fontId="1" fillId="2" borderId="0" xfId="0" applyNumberFormat="1" applyFont="1" applyFill="1" applyBorder="1" applyAlignment="1" applyProtection="1">
      <alignment horizontal="left" vertical="center"/>
    </xf>
    <xf numFmtId="0" fontId="48" fillId="9" borderId="42" xfId="0" applyFont="1" applyFill="1" applyBorder="1" applyAlignment="1">
      <alignment wrapText="1"/>
    </xf>
    <xf numFmtId="44" fontId="1" fillId="0" borderId="42" xfId="0" applyNumberFormat="1" applyFont="1" applyBorder="1" applyAlignment="1">
      <alignment horizontal="left" vertical="center" wrapText="1"/>
    </xf>
    <xf numFmtId="1" fontId="1" fillId="0" borderId="0"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9" borderId="42" xfId="0" applyFont="1" applyFill="1" applyBorder="1" applyAlignment="1">
      <alignment wrapText="1"/>
    </xf>
    <xf numFmtId="0" fontId="1" fillId="19" borderId="39" xfId="0" applyFont="1" applyFill="1" applyBorder="1" applyAlignment="1">
      <alignment wrapText="1"/>
    </xf>
    <xf numFmtId="0" fontId="37" fillId="20" borderId="10" xfId="0" applyFont="1" applyFill="1" applyBorder="1" applyAlignment="1">
      <alignment vertical="top"/>
    </xf>
    <xf numFmtId="0" fontId="38" fillId="0" borderId="0" xfId="0" applyFont="1" applyFill="1" applyBorder="1" applyAlignment="1">
      <alignment vertical="top"/>
    </xf>
    <xf numFmtId="0" fontId="36" fillId="20" borderId="15" xfId="3" applyFont="1" applyFill="1" applyBorder="1" applyAlignment="1" applyProtection="1">
      <alignment vertical="center" wrapText="1"/>
    </xf>
    <xf numFmtId="0" fontId="36" fillId="20" borderId="15" xfId="3" applyFont="1" applyFill="1" applyBorder="1" applyAlignment="1" applyProtection="1">
      <alignment horizontal="left" wrapText="1"/>
    </xf>
    <xf numFmtId="0" fontId="8" fillId="0" borderId="42" xfId="0" applyFont="1" applyBorder="1" applyAlignment="1">
      <alignment wrapText="1"/>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5" fillId="2" borderId="30" xfId="0" applyFont="1" applyFill="1" applyBorder="1"/>
    <xf numFmtId="1" fontId="1" fillId="0" borderId="0" xfId="0" applyNumberFormat="1" applyFont="1" applyBorder="1" applyAlignment="1" applyProtection="1">
      <alignment vertical="center" wrapText="1"/>
      <protection locked="0"/>
    </xf>
    <xf numFmtId="3" fontId="1" fillId="0" borderId="3" xfId="0" applyNumberFormat="1" applyFont="1" applyBorder="1" applyAlignment="1" applyProtection="1">
      <alignment wrapText="1"/>
      <protection locked="0"/>
    </xf>
    <xf numFmtId="3" fontId="10" fillId="0" borderId="3" xfId="0" applyNumberFormat="1" applyFont="1" applyBorder="1" applyAlignment="1" applyProtection="1">
      <alignment wrapText="1"/>
      <protection locked="0"/>
    </xf>
    <xf numFmtId="0" fontId="8" fillId="9" borderId="7" xfId="0" applyFont="1" applyFill="1" applyBorder="1" applyAlignment="1" applyProtection="1">
      <alignment horizontal="center"/>
    </xf>
    <xf numFmtId="0" fontId="8" fillId="9" borderId="7" xfId="0" applyFont="1" applyFill="1" applyBorder="1" applyAlignment="1" applyProtection="1">
      <alignment horizontal="center" wrapText="1"/>
    </xf>
    <xf numFmtId="0" fontId="27" fillId="9" borderId="42" xfId="2" applyFont="1" applyFill="1" applyBorder="1" applyAlignment="1">
      <alignment wrapText="1"/>
    </xf>
    <xf numFmtId="0" fontId="0" fillId="0" borderId="0" xfId="0" applyProtection="1"/>
    <xf numFmtId="44" fontId="1" fillId="2" borderId="23" xfId="4" applyFont="1" applyFill="1" applyBorder="1" applyProtection="1"/>
    <xf numFmtId="44" fontId="19" fillId="10" borderId="42" xfId="4" applyFont="1" applyFill="1" applyBorder="1" applyAlignment="1" applyProtection="1">
      <alignment horizontal="center"/>
    </xf>
    <xf numFmtId="44" fontId="19" fillId="10" borderId="36" xfId="4" applyFont="1" applyFill="1" applyBorder="1" applyAlignment="1" applyProtection="1">
      <alignment horizontal="center"/>
    </xf>
    <xf numFmtId="0" fontId="8" fillId="2" borderId="6" xfId="0" applyFont="1" applyFill="1" applyBorder="1" applyAlignment="1" applyProtection="1">
      <alignment horizontal="center"/>
      <protection locked="0"/>
    </xf>
    <xf numFmtId="44" fontId="1" fillId="2" borderId="42" xfId="4" applyNumberFormat="1" applyFont="1" applyFill="1" applyBorder="1" applyAlignment="1" applyProtection="1">
      <alignment horizontal="center"/>
    </xf>
    <xf numFmtId="44" fontId="1" fillId="2" borderId="42" xfId="4" applyNumberFormat="1" applyFont="1" applyFill="1" applyBorder="1" applyProtection="1"/>
    <xf numFmtId="44" fontId="1" fillId="2" borderId="36" xfId="4" applyNumberFormat="1" applyFont="1" applyFill="1" applyBorder="1" applyProtection="1"/>
    <xf numFmtId="44" fontId="1" fillId="2" borderId="36" xfId="4" applyNumberFormat="1" applyFont="1" applyFill="1" applyBorder="1" applyAlignment="1" applyProtection="1">
      <alignment horizontal="center"/>
    </xf>
    <xf numFmtId="44" fontId="1" fillId="2" borderId="9" xfId="4" applyNumberFormat="1" applyFont="1" applyFill="1" applyBorder="1" applyAlignment="1" applyProtection="1">
      <alignment horizontal="center"/>
    </xf>
    <xf numFmtId="0" fontId="13" fillId="2" borderId="4" xfId="3" applyFont="1" applyFill="1" applyBorder="1" applyAlignment="1">
      <alignment horizontal="left" vertical="center" wrapText="1"/>
    </xf>
    <xf numFmtId="0" fontId="26" fillId="0" borderId="14" xfId="0" applyFont="1" applyBorder="1"/>
    <xf numFmtId="44" fontId="13" fillId="2" borderId="41" xfId="4" applyFont="1" applyFill="1" applyBorder="1" applyAlignment="1">
      <alignment horizontal="center" vertical="center"/>
    </xf>
    <xf numFmtId="0" fontId="8" fillId="7" borderId="42" xfId="0" applyFont="1" applyFill="1" applyBorder="1" applyAlignment="1">
      <alignment horizontal="center" vertical="center"/>
    </xf>
    <xf numFmtId="1" fontId="1" fillId="0" borderId="42" xfId="0" applyNumberFormat="1" applyFont="1" applyBorder="1" applyAlignment="1" applyProtection="1">
      <alignment vertical="center" wrapText="1"/>
      <protection locked="0"/>
    </xf>
    <xf numFmtId="0" fontId="32" fillId="2" borderId="9" xfId="0" applyFont="1" applyFill="1" applyBorder="1" applyAlignment="1" applyProtection="1">
      <alignment horizontal="left" vertical="top" wrapText="1"/>
    </xf>
    <xf numFmtId="0" fontId="8" fillId="2" borderId="0" xfId="0" applyFont="1" applyFill="1" applyBorder="1" applyAlignment="1">
      <alignment vertical="center"/>
    </xf>
    <xf numFmtId="0" fontId="1" fillId="2" borderId="40" xfId="0" applyFont="1" applyFill="1" applyBorder="1" applyAlignment="1" applyProtection="1">
      <alignment horizontal="left" vertical="top" wrapText="1"/>
    </xf>
    <xf numFmtId="0" fontId="8" fillId="2" borderId="15" xfId="0" applyFont="1" applyFill="1" applyBorder="1" applyAlignment="1" applyProtection="1">
      <alignment horizontal="left" vertical="top" wrapText="1"/>
    </xf>
    <xf numFmtId="0" fontId="5" fillId="2" borderId="0" xfId="0" applyFont="1" applyFill="1" applyAlignment="1">
      <alignment horizontal="center"/>
    </xf>
    <xf numFmtId="0" fontId="1" fillId="9" borderId="42" xfId="0" applyFont="1" applyFill="1" applyBorder="1" applyAlignment="1">
      <alignment horizontal="left" vertical="center" wrapText="1"/>
    </xf>
    <xf numFmtId="1" fontId="1" fillId="2" borderId="0" xfId="0" applyNumberFormat="1" applyFont="1" applyFill="1" applyBorder="1" applyAlignment="1" applyProtection="1">
      <alignment vertical="center" wrapText="1"/>
    </xf>
    <xf numFmtId="0" fontId="1" fillId="2" borderId="0" xfId="0" applyFont="1" applyFill="1" applyBorder="1" applyAlignment="1" applyProtection="1">
      <alignment horizontal="left" vertical="center" wrapText="1"/>
    </xf>
    <xf numFmtId="165" fontId="1" fillId="2" borderId="0" xfId="0" applyNumberFormat="1" applyFont="1" applyFill="1" applyBorder="1" applyAlignment="1" applyProtection="1">
      <alignment vertical="center" wrapText="1"/>
    </xf>
    <xf numFmtId="1" fontId="1" fillId="2" borderId="42" xfId="0" applyNumberFormat="1" applyFont="1" applyFill="1" applyBorder="1" applyAlignment="1" applyProtection="1">
      <alignment vertical="center" wrapText="1"/>
    </xf>
    <xf numFmtId="0" fontId="8" fillId="2" borderId="71"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xf>
    <xf numFmtId="44" fontId="1" fillId="2" borderId="41" xfId="0" applyNumberFormat="1" applyFont="1" applyFill="1" applyBorder="1" applyAlignment="1" applyProtection="1">
      <alignment horizontal="left" vertical="top" wrapText="1"/>
    </xf>
    <xf numFmtId="0" fontId="8" fillId="2" borderId="42" xfId="0" applyFont="1" applyFill="1" applyBorder="1" applyAlignment="1" applyProtection="1">
      <alignment horizontal="left" vertical="top" wrapText="1"/>
    </xf>
    <xf numFmtId="0" fontId="8" fillId="2" borderId="42" xfId="0" applyFont="1" applyFill="1" applyBorder="1" applyAlignment="1">
      <alignment horizontal="right" vertical="center"/>
    </xf>
    <xf numFmtId="0" fontId="36" fillId="13" borderId="71" xfId="0" applyFont="1" applyFill="1" applyBorder="1" applyAlignment="1">
      <alignment vertical="center" wrapText="1"/>
    </xf>
    <xf numFmtId="44" fontId="26" fillId="2" borderId="73" xfId="0" applyNumberFormat="1" applyFont="1" applyFill="1" applyBorder="1" applyAlignment="1">
      <alignment horizontal="center" vertical="center"/>
    </xf>
    <xf numFmtId="44" fontId="8" fillId="2" borderId="42" xfId="0" applyNumberFormat="1" applyFont="1" applyFill="1" applyBorder="1" applyAlignment="1" applyProtection="1">
      <alignment horizontal="left" vertical="top" wrapText="1"/>
    </xf>
    <xf numFmtId="0" fontId="1" fillId="0" borderId="37" xfId="0" applyFont="1" applyBorder="1" applyAlignment="1">
      <alignment vertical="top" wrapText="1"/>
    </xf>
    <xf numFmtId="0" fontId="1" fillId="0" borderId="37" xfId="0" applyFont="1" applyBorder="1" applyAlignment="1">
      <alignment vertical="top"/>
    </xf>
    <xf numFmtId="0" fontId="1" fillId="0" borderId="39" xfId="0" applyFont="1" applyBorder="1" applyAlignment="1">
      <alignment vertical="top" wrapText="1"/>
    </xf>
    <xf numFmtId="0" fontId="36" fillId="20" borderId="16" xfId="0" applyFont="1" applyFill="1" applyBorder="1" applyAlignment="1">
      <alignment wrapText="1"/>
    </xf>
    <xf numFmtId="0" fontId="36" fillId="20" borderId="17" xfId="0" applyFont="1" applyFill="1" applyBorder="1"/>
    <xf numFmtId="0" fontId="1" fillId="0" borderId="18" xfId="0" applyFont="1" applyBorder="1" applyAlignment="1">
      <alignment vertical="top"/>
    </xf>
    <xf numFmtId="0" fontId="1" fillId="0" borderId="23" xfId="0" applyFont="1" applyBorder="1" applyAlignment="1">
      <alignment vertical="top"/>
    </xf>
    <xf numFmtId="0" fontId="0" fillId="0" borderId="0" xfId="0" applyBorder="1" applyAlignment="1">
      <alignment vertical="top"/>
    </xf>
    <xf numFmtId="0" fontId="8" fillId="7" borderId="42" xfId="0" applyFont="1" applyFill="1" applyBorder="1" applyAlignment="1">
      <alignment horizontal="center" vertical="center"/>
    </xf>
    <xf numFmtId="0" fontId="0" fillId="0" borderId="42" xfId="0" applyFill="1" applyBorder="1"/>
    <xf numFmtId="0" fontId="52" fillId="0" borderId="18" xfId="0" applyFont="1" applyBorder="1" applyAlignment="1">
      <alignment vertical="top"/>
    </xf>
    <xf numFmtId="44" fontId="1" fillId="2" borderId="42" xfId="0" applyNumberFormat="1" applyFont="1" applyFill="1" applyBorder="1" applyAlignment="1">
      <alignment vertical="center" wrapText="1"/>
    </xf>
    <xf numFmtId="44" fontId="1" fillId="2" borderId="42" xfId="0" applyNumberFormat="1" applyFont="1" applyFill="1" applyBorder="1" applyAlignment="1">
      <alignment horizontal="left" vertical="center" wrapText="1"/>
    </xf>
    <xf numFmtId="44" fontId="1" fillId="2" borderId="41" xfId="0" applyNumberFormat="1" applyFont="1" applyFill="1" applyBorder="1" applyAlignment="1">
      <alignment vertical="center" wrapText="1"/>
    </xf>
    <xf numFmtId="44" fontId="8" fillId="2" borderId="15" xfId="0" applyNumberFormat="1" applyFont="1" applyFill="1" applyBorder="1" applyAlignment="1">
      <alignment vertical="center" wrapText="1"/>
    </xf>
    <xf numFmtId="0" fontId="52" fillId="0" borderId="23" xfId="0" applyFont="1" applyBorder="1" applyAlignment="1">
      <alignment vertical="top" wrapText="1"/>
    </xf>
    <xf numFmtId="0" fontId="1" fillId="2" borderId="5" xfId="0" applyFont="1" applyFill="1" applyBorder="1" applyAlignment="1" applyProtection="1">
      <alignment vertical="center" wrapText="1"/>
      <protection locked="0"/>
    </xf>
    <xf numFmtId="0" fontId="1" fillId="0" borderId="23" xfId="0" applyFont="1" applyBorder="1" applyAlignment="1">
      <alignment vertical="top" wrapText="1"/>
    </xf>
    <xf numFmtId="44" fontId="8" fillId="2" borderId="73" xfId="4" applyFont="1" applyFill="1" applyBorder="1" applyAlignment="1">
      <alignment vertical="center"/>
    </xf>
    <xf numFmtId="0" fontId="8" fillId="9" borderId="74" xfId="0" applyFont="1" applyFill="1" applyBorder="1" applyAlignment="1" applyProtection="1">
      <alignment horizontal="left" vertical="center" wrapText="1"/>
    </xf>
    <xf numFmtId="165" fontId="1" fillId="2" borderId="5" xfId="0" applyNumberFormat="1" applyFont="1" applyFill="1" applyBorder="1" applyAlignment="1" applyProtection="1">
      <alignment vertical="center" wrapText="1"/>
      <protection locked="0"/>
    </xf>
    <xf numFmtId="165" fontId="1" fillId="2" borderId="0" xfId="0" applyNumberFormat="1" applyFont="1" applyFill="1"/>
    <xf numFmtId="165" fontId="1" fillId="2" borderId="42" xfId="0" applyNumberFormat="1" applyFont="1" applyFill="1" applyBorder="1" applyAlignment="1" applyProtection="1">
      <alignment vertical="center" wrapText="1"/>
      <protection locked="0"/>
    </xf>
    <xf numFmtId="0" fontId="24" fillId="0" borderId="0" xfId="0" applyFont="1" applyAlignment="1">
      <alignment vertical="center" wrapText="1"/>
    </xf>
    <xf numFmtId="0" fontId="53" fillId="0" borderId="18" xfId="0" applyFont="1" applyBorder="1" applyAlignment="1">
      <alignment vertical="top"/>
    </xf>
    <xf numFmtId="0" fontId="53" fillId="0" borderId="23" xfId="0" applyFont="1" applyBorder="1" applyAlignment="1">
      <alignment vertical="top" wrapText="1"/>
    </xf>
    <xf numFmtId="0" fontId="5" fillId="0" borderId="42" xfId="0" applyFont="1" applyBorder="1"/>
    <xf numFmtId="0" fontId="53" fillId="0" borderId="23" xfId="0" applyFont="1" applyBorder="1" applyAlignment="1">
      <alignment vertical="top"/>
    </xf>
    <xf numFmtId="0" fontId="1" fillId="19" borderId="8" xfId="0" applyFont="1" applyFill="1" applyBorder="1" applyAlignment="1">
      <alignment wrapText="1"/>
    </xf>
    <xf numFmtId="0" fontId="0" fillId="0" borderId="0" xfId="0" applyAlignment="1">
      <alignment horizontal="center" vertical="center"/>
    </xf>
    <xf numFmtId="0" fontId="53" fillId="0" borderId="36" xfId="0" applyFont="1" applyBorder="1"/>
    <xf numFmtId="164" fontId="53" fillId="0" borderId="23" xfId="0" applyNumberFormat="1" applyFont="1" applyBorder="1"/>
    <xf numFmtId="0" fontId="54" fillId="0" borderId="18" xfId="0" applyFont="1" applyBorder="1" applyAlignment="1">
      <alignment vertical="top"/>
    </xf>
    <xf numFmtId="0" fontId="55" fillId="0" borderId="0" xfId="0" applyFont="1" applyAlignment="1">
      <alignment vertical="center"/>
    </xf>
    <xf numFmtId="2" fontId="19" fillId="2" borderId="39" xfId="0" applyNumberFormat="1" applyFont="1" applyFill="1" applyBorder="1" applyAlignment="1">
      <alignment vertical="center" wrapText="1"/>
    </xf>
    <xf numFmtId="49" fontId="1" fillId="9" borderId="31" xfId="0" applyNumberFormat="1" applyFont="1" applyFill="1" applyBorder="1" applyAlignment="1" applyProtection="1">
      <protection locked="0"/>
    </xf>
    <xf numFmtId="0" fontId="8" fillId="9" borderId="31" xfId="0" applyFont="1" applyFill="1" applyBorder="1" applyAlignment="1" applyProtection="1">
      <alignment horizontal="left" vertical="top" wrapText="1"/>
    </xf>
    <xf numFmtId="0" fontId="1" fillId="9" borderId="42" xfId="0" applyFont="1" applyFill="1" applyBorder="1" applyAlignment="1" applyProtection="1">
      <alignment wrapText="1"/>
      <protection locked="0"/>
    </xf>
    <xf numFmtId="0" fontId="1" fillId="7" borderId="0" xfId="0" applyFont="1" applyFill="1" applyBorder="1" applyAlignment="1" applyProtection="1">
      <alignment wrapText="1"/>
      <protection locked="0"/>
    </xf>
    <xf numFmtId="0" fontId="1" fillId="7" borderId="0" xfId="0" applyFont="1" applyFill="1" applyBorder="1" applyAlignment="1" applyProtection="1">
      <alignment horizontal="left" vertical="top"/>
    </xf>
    <xf numFmtId="0" fontId="1" fillId="7" borderId="31" xfId="0" applyFont="1" applyFill="1" applyBorder="1" applyAlignment="1" applyProtection="1">
      <alignment horizontal="left" vertical="top"/>
    </xf>
    <xf numFmtId="49" fontId="1" fillId="9" borderId="9" xfId="0" applyNumberFormat="1" applyFont="1" applyFill="1" applyBorder="1" applyAlignment="1" applyProtection="1">
      <alignment wrapText="1"/>
      <protection locked="0"/>
    </xf>
    <xf numFmtId="49" fontId="1" fillId="9" borderId="75" xfId="0" applyNumberFormat="1" applyFont="1" applyFill="1" applyBorder="1" applyAlignment="1" applyProtection="1">
      <alignment wrapText="1"/>
      <protection locked="0"/>
    </xf>
    <xf numFmtId="0" fontId="1" fillId="9" borderId="76" xfId="0" applyFont="1" applyFill="1" applyBorder="1" applyAlignment="1" applyProtection="1">
      <alignment horizontal="center"/>
      <protection locked="0"/>
    </xf>
    <xf numFmtId="1" fontId="32" fillId="7" borderId="34" xfId="0" applyNumberFormat="1" applyFont="1" applyFill="1" applyBorder="1" applyAlignment="1" applyProtection="1">
      <alignment horizontal="center" wrapText="1"/>
      <protection locked="0"/>
    </xf>
    <xf numFmtId="49" fontId="0" fillId="2" borderId="0" xfId="0" applyNumberFormat="1" applyFill="1" applyAlignment="1" applyProtection="1">
      <alignment horizontal="center"/>
    </xf>
    <xf numFmtId="49" fontId="6" fillId="2" borderId="0"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center" vertical="center"/>
    </xf>
    <xf numFmtId="49" fontId="1" fillId="2" borderId="0" xfId="0" applyNumberFormat="1" applyFont="1" applyFill="1" applyAlignment="1"/>
    <xf numFmtId="49" fontId="31" fillId="2" borderId="0" xfId="0" applyNumberFormat="1" applyFont="1" applyFill="1" applyAlignment="1" applyProtection="1">
      <alignment horizontal="center"/>
    </xf>
    <xf numFmtId="49" fontId="1" fillId="7" borderId="0" xfId="0" applyNumberFormat="1" applyFont="1" applyFill="1" applyBorder="1" applyAlignment="1" applyProtection="1">
      <alignment wrapText="1"/>
      <protection locked="0"/>
    </xf>
    <xf numFmtId="49" fontId="0" fillId="0" borderId="0" xfId="0" applyNumberFormat="1"/>
    <xf numFmtId="49" fontId="1" fillId="9" borderId="42" xfId="0" applyNumberFormat="1" applyFont="1" applyFill="1" applyBorder="1" applyAlignment="1" applyProtection="1">
      <alignment wrapText="1"/>
      <protection locked="0"/>
    </xf>
    <xf numFmtId="49" fontId="1" fillId="9" borderId="35" xfId="0" applyNumberFormat="1" applyFont="1" applyFill="1" applyBorder="1" applyAlignment="1" applyProtection="1">
      <alignment wrapText="1"/>
      <protection locked="0"/>
    </xf>
    <xf numFmtId="0" fontId="1" fillId="9" borderId="36" xfId="0" applyFont="1" applyFill="1" applyBorder="1" applyAlignment="1" applyProtection="1">
      <alignment wrapText="1"/>
      <protection locked="0"/>
    </xf>
    <xf numFmtId="0" fontId="8" fillId="9" borderId="1" xfId="0" applyFont="1" applyFill="1" applyBorder="1" applyAlignment="1" applyProtection="1">
      <alignment horizontal="left" vertical="top" wrapText="1"/>
    </xf>
    <xf numFmtId="0" fontId="8" fillId="9" borderId="23" xfId="0" applyFont="1" applyFill="1" applyBorder="1" applyAlignment="1" applyProtection="1">
      <alignment horizontal="left" vertical="top" wrapText="1"/>
    </xf>
    <xf numFmtId="0" fontId="56" fillId="0" borderId="23" xfId="0" applyFont="1" applyBorder="1" applyAlignment="1">
      <alignment vertical="top" wrapText="1"/>
    </xf>
    <xf numFmtId="0" fontId="1" fillId="19" borderId="0" xfId="0" applyFont="1" applyFill="1" applyBorder="1" applyAlignment="1">
      <alignment wrapText="1"/>
    </xf>
    <xf numFmtId="165" fontId="0" fillId="0" borderId="42" xfId="0" applyNumberFormat="1" applyBorder="1" applyAlignment="1" applyProtection="1"/>
    <xf numFmtId="0" fontId="0" fillId="0" borderId="42" xfId="0" applyBorder="1" applyAlignment="1" applyProtection="1"/>
    <xf numFmtId="14" fontId="0" fillId="0" borderId="42" xfId="0" applyNumberFormat="1" applyBorder="1" applyAlignment="1" applyProtection="1"/>
    <xf numFmtId="0" fontId="0" fillId="0" borderId="0" xfId="0" applyBorder="1" applyAlignment="1" applyProtection="1"/>
    <xf numFmtId="14" fontId="0" fillId="0" borderId="0" xfId="0" applyNumberFormat="1" applyBorder="1" applyAlignment="1" applyProtection="1"/>
    <xf numFmtId="49" fontId="0" fillId="0" borderId="0" xfId="0" applyNumberFormat="1" applyBorder="1" applyAlignment="1" applyProtection="1"/>
    <xf numFmtId="0" fontId="0" fillId="0" borderId="0" xfId="0" applyBorder="1" applyAlignment="1" applyProtection="1">
      <alignment wrapText="1"/>
    </xf>
    <xf numFmtId="165" fontId="0" fillId="0" borderId="0" xfId="0" applyNumberFormat="1" applyBorder="1" applyAlignment="1" applyProtection="1"/>
    <xf numFmtId="49" fontId="0" fillId="0" borderId="42" xfId="0" applyNumberFormat="1" applyBorder="1" applyAlignment="1" applyProtection="1"/>
    <xf numFmtId="0" fontId="0" fillId="0" borderId="42" xfId="0" applyBorder="1" applyAlignment="1" applyProtection="1">
      <alignment wrapText="1"/>
    </xf>
    <xf numFmtId="0" fontId="56" fillId="0" borderId="18" xfId="0" applyFont="1" applyBorder="1" applyAlignment="1">
      <alignment vertical="top"/>
    </xf>
    <xf numFmtId="0" fontId="1" fillId="2" borderId="42" xfId="0" applyFont="1" applyFill="1" applyBorder="1" applyAlignment="1" applyProtection="1">
      <alignment wrapText="1"/>
    </xf>
    <xf numFmtId="0" fontId="13" fillId="0" borderId="18" xfId="0" applyFont="1" applyBorder="1" applyAlignment="1">
      <alignment vertical="top"/>
    </xf>
    <xf numFmtId="0" fontId="1" fillId="9" borderId="75" xfId="0" applyFont="1" applyFill="1" applyBorder="1" applyAlignment="1" applyProtection="1">
      <alignment wrapText="1"/>
      <protection locked="0"/>
    </xf>
    <xf numFmtId="44" fontId="0" fillId="2" borderId="0" xfId="0" applyNumberFormat="1" applyFont="1" applyFill="1" applyProtection="1"/>
    <xf numFmtId="0" fontId="1" fillId="0" borderId="18" xfId="0" applyFont="1" applyBorder="1" applyAlignment="1">
      <alignment wrapText="1"/>
    </xf>
    <xf numFmtId="0" fontId="1" fillId="0" borderId="42" xfId="0" applyNumberFormat="1" applyFont="1" applyBorder="1" applyAlignment="1" applyProtection="1">
      <alignment wrapText="1"/>
      <protection locked="0"/>
    </xf>
    <xf numFmtId="0" fontId="37" fillId="21" borderId="0" xfId="0" applyFont="1" applyFill="1" applyAlignment="1">
      <alignment wrapText="1"/>
    </xf>
    <xf numFmtId="0" fontId="1" fillId="0" borderId="36" xfId="0" applyFont="1" applyBorder="1"/>
    <xf numFmtId="164" fontId="1" fillId="0" borderId="23" xfId="0" applyNumberFormat="1" applyFont="1" applyBorder="1"/>
    <xf numFmtId="0" fontId="57" fillId="0" borderId="18" xfId="0" applyFont="1" applyBorder="1" applyAlignment="1">
      <alignment wrapText="1"/>
    </xf>
    <xf numFmtId="0" fontId="57" fillId="0" borderId="36" xfId="0" applyFont="1" applyBorder="1"/>
    <xf numFmtId="164" fontId="57" fillId="0" borderId="23" xfId="0" applyNumberFormat="1" applyFont="1" applyBorder="1"/>
    <xf numFmtId="0" fontId="1" fillId="2" borderId="39"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19" borderId="2" xfId="0" applyFont="1" applyFill="1" applyBorder="1" applyAlignment="1">
      <alignment horizontal="center" vertical="center" wrapText="1"/>
    </xf>
    <xf numFmtId="0" fontId="1" fillId="19" borderId="0" xfId="0" applyFont="1" applyFill="1" applyBorder="1" applyAlignment="1">
      <alignment horizontal="center" vertical="center" wrapText="1"/>
    </xf>
    <xf numFmtId="0" fontId="1" fillId="2" borderId="42" xfId="0" applyFont="1" applyFill="1" applyBorder="1" applyAlignment="1" applyProtection="1">
      <alignment horizontal="center" vertical="center" wrapText="1"/>
    </xf>
    <xf numFmtId="0" fontId="1" fillId="19" borderId="17" xfId="0" applyFont="1" applyFill="1" applyBorder="1" applyAlignment="1">
      <alignment horizontal="left" wrapText="1"/>
    </xf>
    <xf numFmtId="0" fontId="1" fillId="19" borderId="8" xfId="0" applyFont="1" applyFill="1" applyBorder="1" applyAlignment="1">
      <alignment horizontal="left" wrapText="1"/>
    </xf>
    <xf numFmtId="0" fontId="1" fillId="2" borderId="42" xfId="0" applyFont="1" applyFill="1" applyBorder="1" applyAlignment="1">
      <alignment horizontal="left" vertical="top" wrapText="1"/>
    </xf>
    <xf numFmtId="0" fontId="0" fillId="2" borderId="0" xfId="0" applyFill="1" applyBorder="1" applyAlignment="1" applyProtection="1">
      <alignment horizontal="left" vertical="top" wrapText="1"/>
    </xf>
    <xf numFmtId="0" fontId="5" fillId="2" borderId="0" xfId="0" applyFont="1" applyFill="1" applyBorder="1" applyAlignment="1">
      <alignment horizontal="center" vertical="center"/>
    </xf>
    <xf numFmtId="0" fontId="1" fillId="2" borderId="0" xfId="0" applyFont="1" applyFill="1" applyBorder="1" applyAlignment="1" applyProtection="1"/>
    <xf numFmtId="0" fontId="1" fillId="2" borderId="0" xfId="0" applyFont="1" applyFill="1" applyBorder="1" applyAlignment="1"/>
    <xf numFmtId="0" fontId="14" fillId="2" borderId="0" xfId="0" applyNumberFormat="1" applyFont="1" applyFill="1" applyBorder="1" applyAlignment="1" applyProtection="1"/>
    <xf numFmtId="0" fontId="1" fillId="2" borderId="0" xfId="0" applyNumberFormat="1" applyFont="1" applyFill="1" applyBorder="1" applyAlignment="1"/>
    <xf numFmtId="0" fontId="24" fillId="2" borderId="0" xfId="0" applyNumberFormat="1" applyFont="1" applyFill="1" applyBorder="1" applyAlignment="1" applyProtection="1">
      <alignment horizontal="left" wrapText="1"/>
    </xf>
    <xf numFmtId="0" fontId="25" fillId="2" borderId="0" xfId="0" applyNumberFormat="1" applyFont="1" applyFill="1" applyBorder="1" applyAlignment="1">
      <alignment horizontal="left" wrapText="1"/>
    </xf>
    <xf numFmtId="0" fontId="25" fillId="2" borderId="0" xfId="0" applyFont="1" applyFill="1" applyBorder="1" applyAlignment="1" applyProtection="1">
      <alignment horizontal="left"/>
    </xf>
    <xf numFmtId="0" fontId="25" fillId="2" borderId="0" xfId="0" applyFont="1" applyFill="1" applyBorder="1" applyAlignment="1">
      <alignment horizontal="left"/>
    </xf>
    <xf numFmtId="0" fontId="29" fillId="2" borderId="0" xfId="0" applyFont="1" applyFill="1" applyBorder="1" applyAlignment="1" applyProtection="1">
      <alignment horizontal="center"/>
    </xf>
    <xf numFmtId="0" fontId="12" fillId="2" borderId="0" xfId="0" applyFont="1" applyFill="1" applyBorder="1" applyAlignment="1" applyProtection="1">
      <alignment horizontal="center"/>
    </xf>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51" fillId="2" borderId="0" xfId="2" applyFont="1" applyFill="1" applyBorder="1" applyAlignment="1">
      <alignment horizontal="center" vertical="center" wrapText="1"/>
    </xf>
    <xf numFmtId="0" fontId="8" fillId="7" borderId="39" xfId="0" applyFont="1" applyFill="1" applyBorder="1" applyAlignment="1">
      <alignment horizontal="left" vertical="center" wrapText="1"/>
    </xf>
    <xf numFmtId="0" fontId="8" fillId="7" borderId="37" xfId="0" applyFont="1" applyFill="1" applyBorder="1" applyAlignment="1">
      <alignment horizontal="left" vertical="center" wrapText="1"/>
    </xf>
    <xf numFmtId="0" fontId="8" fillId="7" borderId="42" xfId="0" applyFont="1" applyFill="1" applyBorder="1" applyAlignment="1">
      <alignment horizontal="center" vertical="center"/>
    </xf>
    <xf numFmtId="0" fontId="8" fillId="7" borderId="39"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13" xfId="0" applyFont="1" applyFill="1" applyBorder="1" applyAlignment="1">
      <alignment horizontal="left" vertical="top" wrapText="1"/>
    </xf>
    <xf numFmtId="0" fontId="8" fillId="7" borderId="11" xfId="0" applyFont="1" applyFill="1" applyBorder="1" applyAlignment="1">
      <alignment horizontal="left" vertical="top" wrapText="1"/>
    </xf>
    <xf numFmtId="0" fontId="8" fillId="7" borderId="12" xfId="0" applyFont="1" applyFill="1" applyBorder="1" applyAlignment="1">
      <alignment horizontal="left" vertical="top" wrapText="1"/>
    </xf>
    <xf numFmtId="0" fontId="8" fillId="7" borderId="50" xfId="0" applyFont="1" applyFill="1" applyBorder="1" applyAlignment="1">
      <alignment horizontal="left" vertical="top" wrapText="1"/>
    </xf>
    <xf numFmtId="0" fontId="8" fillId="7" borderId="51" xfId="0" applyFont="1" applyFill="1" applyBorder="1" applyAlignment="1">
      <alignment horizontal="left" vertical="top" wrapText="1"/>
    </xf>
    <xf numFmtId="49" fontId="45" fillId="2" borderId="39" xfId="0" applyNumberFormat="1" applyFont="1" applyFill="1" applyBorder="1" applyAlignment="1">
      <alignment horizontal="left" vertical="center"/>
    </xf>
    <xf numFmtId="49" fontId="45" fillId="2" borderId="34" xfId="0" applyNumberFormat="1" applyFont="1" applyFill="1" applyBorder="1" applyAlignment="1">
      <alignment horizontal="left" vertical="center"/>
    </xf>
    <xf numFmtId="49" fontId="45" fillId="2" borderId="37" xfId="0" applyNumberFormat="1" applyFont="1" applyFill="1" applyBorder="1" applyAlignment="1">
      <alignment horizontal="left" vertical="center"/>
    </xf>
    <xf numFmtId="166" fontId="46" fillId="2" borderId="39" xfId="0" applyNumberFormat="1" applyFont="1" applyFill="1" applyBorder="1" applyAlignment="1">
      <alignment horizontal="center" vertical="center"/>
    </xf>
    <xf numFmtId="166" fontId="46" fillId="2" borderId="37" xfId="0" applyNumberFormat="1" applyFont="1" applyFill="1" applyBorder="1" applyAlignment="1">
      <alignment horizontal="center" vertical="center"/>
    </xf>
    <xf numFmtId="3" fontId="46" fillId="2" borderId="39" xfId="0" applyNumberFormat="1" applyFont="1" applyFill="1" applyBorder="1" applyAlignment="1">
      <alignment horizontal="center" vertical="center"/>
    </xf>
    <xf numFmtId="3" fontId="46" fillId="2" borderId="37" xfId="0" applyNumberFormat="1" applyFont="1" applyFill="1" applyBorder="1" applyAlignment="1">
      <alignment horizontal="center" vertical="center"/>
    </xf>
    <xf numFmtId="166" fontId="46" fillId="0" borderId="39" xfId="0" applyNumberFormat="1" applyFont="1" applyFill="1" applyBorder="1" applyAlignment="1">
      <alignment horizontal="center" vertical="center"/>
    </xf>
    <xf numFmtId="166" fontId="46" fillId="0" borderId="37" xfId="0" applyNumberFormat="1" applyFont="1" applyFill="1" applyBorder="1" applyAlignment="1">
      <alignment horizontal="center" vertical="center"/>
    </xf>
    <xf numFmtId="3" fontId="46" fillId="18" borderId="39" xfId="0" applyNumberFormat="1" applyFont="1" applyFill="1" applyBorder="1" applyAlignment="1">
      <alignment horizontal="center" vertical="center"/>
    </xf>
    <xf numFmtId="3" fontId="46" fillId="18" borderId="37" xfId="0" applyNumberFormat="1" applyFont="1" applyFill="1" applyBorder="1" applyAlignment="1">
      <alignment horizontal="center" vertical="center"/>
    </xf>
    <xf numFmtId="0" fontId="45" fillId="18" borderId="2" xfId="0" applyFont="1" applyFill="1" applyBorder="1" applyAlignment="1">
      <alignment horizontal="center" wrapText="1"/>
    </xf>
    <xf numFmtId="0" fontId="45" fillId="18" borderId="0" xfId="0" applyFont="1" applyFill="1" applyBorder="1" applyAlignment="1">
      <alignment horizontal="center" wrapText="1"/>
    </xf>
    <xf numFmtId="0" fontId="45" fillId="18" borderId="69" xfId="0" applyFont="1" applyFill="1" applyBorder="1" applyAlignment="1">
      <alignment horizontal="center" wrapText="1"/>
    </xf>
    <xf numFmtId="0" fontId="45" fillId="18" borderId="17" xfId="0" applyFont="1" applyFill="1" applyBorder="1" applyAlignment="1">
      <alignment horizontal="center" wrapText="1"/>
    </xf>
    <xf numFmtId="0" fontId="45" fillId="18" borderId="8" xfId="0" applyFont="1" applyFill="1" applyBorder="1" applyAlignment="1">
      <alignment horizontal="center" wrapText="1"/>
    </xf>
    <xf numFmtId="0" fontId="45" fillId="18" borderId="16" xfId="0" applyFont="1" applyFill="1" applyBorder="1" applyAlignment="1">
      <alignment horizontal="center" wrapText="1"/>
    </xf>
    <xf numFmtId="0" fontId="45" fillId="0" borderId="36" xfId="0" applyFont="1" applyFill="1" applyBorder="1" applyAlignment="1">
      <alignment horizontal="left" vertical="center" wrapText="1"/>
    </xf>
    <xf numFmtId="0" fontId="45" fillId="0" borderId="70" xfId="0" applyFont="1" applyFill="1" applyBorder="1" applyAlignment="1">
      <alignment horizontal="left" vertical="center"/>
    </xf>
    <xf numFmtId="0" fontId="45" fillId="0" borderId="15" xfId="0" applyFont="1" applyFill="1" applyBorder="1" applyAlignment="1">
      <alignment horizontal="left" vertical="center"/>
    </xf>
    <xf numFmtId="0" fontId="46" fillId="0" borderId="36" xfId="0" applyFont="1" applyFill="1" applyBorder="1" applyAlignment="1">
      <alignment horizontal="left" vertical="center" wrapText="1"/>
    </xf>
    <xf numFmtId="0" fontId="46" fillId="0" borderId="70" xfId="0" applyFont="1" applyFill="1" applyBorder="1" applyAlignment="1">
      <alignment horizontal="left" vertical="center"/>
    </xf>
    <xf numFmtId="0" fontId="46" fillId="0" borderId="15" xfId="0" applyFont="1" applyFill="1" applyBorder="1" applyAlignment="1">
      <alignment horizontal="left" vertical="center"/>
    </xf>
  </cellXfs>
  <cellStyles count="6">
    <cellStyle name="Currency" xfId="4" builtinId="4"/>
    <cellStyle name="Hyperlink" xfId="2" builtinId="8"/>
    <cellStyle name="Normal" xfId="0" builtinId="0"/>
    <cellStyle name="Normal 3" xfId="1"/>
    <cellStyle name="Normal 3 2" xfId="3"/>
    <cellStyle name="Percent" xfId="5" builtinId="5"/>
  </cellStyles>
  <dxfs count="807">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strike val="0"/>
        <outline val="0"/>
        <shadow val="0"/>
        <u val="none"/>
        <vertAlign val="baseline"/>
        <sz val="11"/>
        <name val="Arial"/>
        <scheme val="none"/>
      </font>
      <fill>
        <patternFill patternType="solid">
          <fgColor indexed="64"/>
          <bgColor rgb="FF0070C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4" formatCode="_-&quot;£&quot;* #,##0.00_-;\-&quot;£&quot;* #,##0.00_-;_-&quot;£&quot;* &quot;-&quot;??_-;_-@_-"/>
      <fill>
        <patternFill patternType="solid">
          <fgColor indexed="64"/>
          <bgColor indexed="3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scheme val="none"/>
      </font>
      <numFmt numFmtId="164" formatCode="&quot;£&quot;#,##0.00"/>
      <border diagonalUp="0" diagonalDown="0" outline="0">
        <left style="thin">
          <color indexed="64"/>
        </left>
        <right/>
        <top style="thin">
          <color indexed="64"/>
        </top>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general" vertical="bottom"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auto="1"/>
        </top>
        <bottom style="thin">
          <color indexed="64"/>
        </bottom>
      </border>
    </dxf>
    <dxf>
      <font>
        <strike val="0"/>
        <outline val="0"/>
        <shadow val="0"/>
        <u val="none"/>
        <vertAlign val="baseline"/>
        <sz val="11"/>
        <color theme="1"/>
        <name val="Arial"/>
        <scheme val="none"/>
      </font>
    </dxf>
    <dxf>
      <border outline="0">
        <bottom style="thin">
          <color indexed="64"/>
        </bottom>
      </border>
    </dxf>
    <dxf>
      <fill>
        <patternFill patternType="solid">
          <fgColor indexed="64"/>
          <bgColor rgb="FF005EB8"/>
        </patternFill>
      </fill>
    </dxf>
    <dxf>
      <font>
        <color rgb="FF9C0006"/>
      </font>
      <fill>
        <patternFill>
          <bgColor rgb="FFFFC7CE"/>
        </patternFill>
      </fill>
    </dxf>
    <dxf>
      <font>
        <color theme="0"/>
      </font>
    </dxf>
    <dxf>
      <font>
        <color theme="0"/>
      </font>
    </dxf>
    <dxf>
      <font>
        <color theme="0"/>
      </font>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auto="1"/>
        </left>
        <right style="thick">
          <color rgb="FF331188"/>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ck">
          <color rgb="FF331188"/>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ill>
        <patternFill patternType="lightGray">
          <bgColor theme="0"/>
        </patternFill>
      </fill>
    </dxf>
    <dxf>
      <fill>
        <patternFill patternType="lightGray">
          <bgColor theme="0"/>
        </patternFill>
      </fill>
    </dxf>
    <dxf>
      <fill>
        <patternFill patternType="lightGray">
          <bgColor theme="0"/>
        </patternFill>
      </fill>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left style="thick">
          <color rgb="FF331188"/>
        </left>
        <right/>
        <top style="thin">
          <color indexed="64"/>
        </top>
        <bottom/>
        <vertical/>
        <horizontal/>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bgColor theme="0"/>
        </patternFill>
      </fill>
    </dxf>
    <dxf>
      <fill>
        <patternFill patternType="lightGray">
          <bgColor theme="0"/>
        </patternFill>
      </fill>
    </dxf>
    <dxf>
      <font>
        <color theme="0"/>
      </font>
    </dxf>
  </dxfs>
  <tableStyles count="1" defaultTableStyle="TableStyleMedium2" defaultPivotStyle="PivotStyleLight16">
    <tableStyle name="Table Style 1" pivot="0" count="0"/>
  </tableStyles>
  <colors>
    <mruColors>
      <color rgb="FF005EB8"/>
      <color rgb="FF0070C0"/>
      <color rgb="FF0000FF"/>
      <color rgb="FFFFFF99"/>
      <color rgb="FF00A9CE"/>
      <color rgb="FFE1F9FF"/>
      <color rgb="FFF1D3E3"/>
      <color rgb="FF7C2855"/>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ihr.ac.uk/researchers/collaborations-services-and-support-for-your-research/run-your-study/excess-treatment-costs.ht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drawing1.xml><?xml version="1.0" encoding="utf-8"?>
<xdr:wsDr xmlns:xdr="http://schemas.openxmlformats.org/drawingml/2006/spreadsheetDrawing" xmlns:a="http://schemas.openxmlformats.org/drawingml/2006/main">
  <xdr:twoCellAnchor>
    <xdr:from>
      <xdr:col>0</xdr:col>
      <xdr:colOff>5443</xdr:colOff>
      <xdr:row>0</xdr:row>
      <xdr:rowOff>0</xdr:rowOff>
    </xdr:from>
    <xdr:to>
      <xdr:col>3</xdr:col>
      <xdr:colOff>501793</xdr:colOff>
      <xdr:row>4</xdr:row>
      <xdr:rowOff>0</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5443" y="0"/>
          <a:ext cx="7425107" cy="8001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Schedule of</a:t>
          </a:r>
          <a:r>
            <a:rPr lang="en-GB" sz="1800" b="0" baseline="0">
              <a:solidFill>
                <a:schemeClr val="bg1"/>
              </a:solidFill>
              <a:latin typeface="Arial" panose="020B0604020202020204" pitchFamily="34" charset="0"/>
              <a:cs typeface="Arial" panose="020B0604020202020204" pitchFamily="34" charset="0"/>
            </a:rPr>
            <a:t> Events Cost Attribution Template (SoECAT)</a:t>
          </a:r>
        </a:p>
        <a:p>
          <a:pPr algn="ctr"/>
          <a:r>
            <a:rPr lang="en-GB" sz="1800" b="0">
              <a:solidFill>
                <a:schemeClr val="bg1"/>
              </a:solidFill>
              <a:latin typeface="Arial" panose="020B0604020202020204" pitchFamily="34" charset="0"/>
              <a:cs typeface="Arial" panose="020B0604020202020204" pitchFamily="34" charset="0"/>
            </a:rPr>
            <a:t>Study</a:t>
          </a:r>
          <a:r>
            <a:rPr lang="en-GB" sz="1800" b="0" baseline="0">
              <a:solidFill>
                <a:schemeClr val="bg1"/>
              </a:solidFill>
              <a:latin typeface="Arial" panose="020B0604020202020204" pitchFamily="34" charset="0"/>
              <a:cs typeface="Arial" panose="020B0604020202020204" pitchFamily="34" charset="0"/>
            </a:rPr>
            <a:t> Information - template A</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5</xdr:row>
      <xdr:rowOff>195943</xdr:rowOff>
    </xdr:from>
    <xdr:to>
      <xdr:col>2</xdr:col>
      <xdr:colOff>1157967</xdr:colOff>
      <xdr:row>5</xdr:row>
      <xdr:rowOff>2302329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181100"/>
          <a:ext cx="7237638" cy="2106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solidFill>
              <a:sysClr val="windowText" lastClr="000000"/>
            </a:solidFill>
            <a:latin typeface="Arial" panose="020B0604020202020204" pitchFamily="34" charset="0"/>
            <a:cs typeface="Arial" panose="020B0604020202020204" pitchFamily="34" charset="0"/>
          </a:endParaRPr>
        </a:p>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The</a:t>
          </a:r>
          <a:r>
            <a:rPr lang="en-GB" sz="1100" baseline="0">
              <a:solidFill>
                <a:sysClr val="windowText" lastClr="000000"/>
              </a:solidFill>
              <a:latin typeface="Arial" panose="020B0604020202020204" pitchFamily="34" charset="0"/>
              <a:cs typeface="Arial" panose="020B0604020202020204" pitchFamily="34" charset="0"/>
            </a:rPr>
            <a:t> guidance given on each tab should be read in association with the separate guidance document.</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latin typeface="Arial" panose="020B0604020202020204" pitchFamily="34" charset="0"/>
              <a:cs typeface="Arial" panose="020B0604020202020204" pitchFamily="34" charset="0"/>
            </a:rPr>
            <a:t>Please answer</a:t>
          </a:r>
          <a:r>
            <a:rPr lang="en-GB" sz="1100" baseline="0">
              <a:solidFill>
                <a:sysClr val="windowText" lastClr="000000"/>
              </a:solidFill>
              <a:latin typeface="Arial" panose="020B0604020202020204" pitchFamily="34" charset="0"/>
              <a:cs typeface="Arial" panose="020B0604020202020204" pitchFamily="34" charset="0"/>
            </a:rPr>
            <a:t> each question below (</a:t>
          </a:r>
          <a:r>
            <a:rPr lang="en-GB" sz="1100" b="1" u="sng" baseline="0">
              <a:solidFill>
                <a:sysClr val="windowText" lastClr="000000"/>
              </a:solidFill>
              <a:latin typeface="Arial" panose="020B0604020202020204" pitchFamily="34" charset="0"/>
              <a:cs typeface="Arial" panose="020B0604020202020204" pitchFamily="34" charset="0"/>
            </a:rPr>
            <a:t>NOTE: KEY FUNCTIONALITY NEEDED TO COMPLETE THE REST OF THIS TOOL IS NOT ACTIVATED UNTIL YOU HAVE PROVIDED AN ANSWER TO QUESTION 3</a:t>
          </a:r>
          <a:r>
            <a:rPr lang="en-GB" sz="1100" baseline="0">
              <a:solidFill>
                <a:sysClr val="windowText" lastClr="000000"/>
              </a:solidFill>
              <a:latin typeface="Arial" panose="020B0604020202020204" pitchFamily="34" charset="0"/>
              <a:cs typeface="Arial" panose="020B0604020202020204" pitchFamily="34" charset="0"/>
            </a:rPr>
            <a:t>).  Please only provide an IRAS reference number if you have already </a:t>
          </a:r>
          <a:r>
            <a:rPr lang="en-GB" sz="1100" u="none" baseline="0">
              <a:solidFill>
                <a:sysClr val="windowText" lastClr="000000"/>
              </a:solidFill>
              <a:latin typeface="Arial" panose="020B0604020202020204" pitchFamily="34" charset="0"/>
              <a:cs typeface="Arial" panose="020B0604020202020204" pitchFamily="34" charset="0"/>
            </a:rPr>
            <a:t>created an IRAS project </a:t>
          </a:r>
          <a:r>
            <a:rPr lang="en-GB" sz="1100" baseline="0">
              <a:solidFill>
                <a:sysClr val="windowText" lastClr="000000"/>
              </a:solidFill>
              <a:latin typeface="Arial" panose="020B0604020202020204" pitchFamily="34" charset="0"/>
              <a:cs typeface="Arial" panose="020B0604020202020204" pitchFamily="34" charset="0"/>
            </a:rPr>
            <a:t>for this study.  All cells are free text other than questions 3, 5 and 11, which should be answered using the drop-downs, question 9, which auto populates from the dates given in answer to questions 7 and 8, and 10 which must be a whole number. Whilst we appreciate that it may be difficult to state with certainty answers to questions 7,8 and 10 best estimations should be provided to support the calculations within this tool.  Questions 11, 12, 13 and 14 are for office use only.</a:t>
          </a:r>
        </a:p>
        <a:p>
          <a:endParaRPr lang="en-GB" sz="1100" u="sng"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4</xdr:row>
      <xdr:rowOff>35379</xdr:rowOff>
    </xdr:from>
    <xdr:to>
      <xdr:col>3</xdr:col>
      <xdr:colOff>337457</xdr:colOff>
      <xdr:row>5</xdr:row>
      <xdr:rowOff>288472</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835479"/>
          <a:ext cx="7266214"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Version number 1.18 </a:t>
          </a:r>
          <a:r>
            <a:rPr lang="en-GB" sz="1100" b="1">
              <a:solidFill>
                <a:sysClr val="windowText" lastClr="000000"/>
              </a:solidFill>
              <a:effectLst/>
              <a:latin typeface="Arial" panose="020B0604020202020204" pitchFamily="34" charset="0"/>
              <a:ea typeface="+mn-ea"/>
              <a:cs typeface="Arial" panose="020B0604020202020204" pitchFamily="34" charset="0"/>
            </a:rPr>
            <a:t> 12</a:t>
          </a:r>
          <a:r>
            <a:rPr lang="en-GB" sz="1100" b="1" baseline="0">
              <a:solidFill>
                <a:sysClr val="windowText" lastClr="000000"/>
              </a:solidFill>
              <a:effectLst/>
              <a:latin typeface="Arial" panose="020B0604020202020204" pitchFamily="34" charset="0"/>
              <a:ea typeface="+mn-ea"/>
              <a:cs typeface="Arial" panose="020B0604020202020204" pitchFamily="34" charset="0"/>
            </a:rPr>
            <a:t> </a:t>
          </a:r>
          <a:r>
            <a:rPr lang="en-GB" sz="1100" b="1" baseline="0">
              <a:solidFill>
                <a:schemeClr val="dk1"/>
              </a:solidFill>
              <a:effectLst/>
              <a:latin typeface="Arial" panose="020B0604020202020204" pitchFamily="34" charset="0"/>
              <a:ea typeface="+mn-ea"/>
              <a:cs typeface="Arial" panose="020B0604020202020204" pitchFamily="34" charset="0"/>
            </a:rPr>
            <a:t>November</a:t>
          </a:r>
          <a:r>
            <a:rPr lang="en-GB" sz="1100" b="1">
              <a:solidFill>
                <a:schemeClr val="dk1"/>
              </a:solidFill>
              <a:effectLst/>
              <a:latin typeface="Arial" panose="020B0604020202020204" pitchFamily="34" charset="0"/>
              <a:ea typeface="+mn-ea"/>
              <a:cs typeface="Arial" panose="020B0604020202020204" pitchFamily="34" charset="0"/>
            </a:rPr>
            <a:t> 2019. </a:t>
          </a:r>
          <a:endParaRPr lang="en-GB">
            <a:effectLst/>
            <a:latin typeface="Arial" panose="020B0604020202020204" pitchFamily="34" charset="0"/>
            <a:cs typeface="Arial" panose="020B0604020202020204" pitchFamily="34" charset="0"/>
          </a:endParaRPr>
        </a:p>
        <a:p>
          <a:r>
            <a:rPr lang="en-GB" sz="900" b="0">
              <a:solidFill>
                <a:schemeClr val="dk1"/>
              </a:solidFill>
              <a:effectLst/>
              <a:latin typeface="Arial" panose="020B0604020202020204" pitchFamily="34" charset="0"/>
              <a:ea typeface="+mn-ea"/>
              <a:cs typeface="Arial" panose="020B0604020202020204" pitchFamily="34" charset="0"/>
            </a:rPr>
            <a:t>Please check the </a:t>
          </a:r>
          <a:r>
            <a:rPr lang="en-GB" sz="900" b="0" u="sng">
              <a:solidFill>
                <a:srgbClr val="0000FF"/>
              </a:solidFill>
              <a:effectLst/>
              <a:latin typeface="Arial" panose="020B0604020202020204" pitchFamily="34" charset="0"/>
              <a:ea typeface="+mn-ea"/>
              <a:cs typeface="Arial" panose="020B0604020202020204" pitchFamily="34" charset="0"/>
            </a:rPr>
            <a:t>CRN website</a:t>
          </a:r>
          <a:r>
            <a:rPr lang="en-GB" sz="900" b="0" u="none">
              <a:solidFill>
                <a:srgbClr val="0000FF"/>
              </a:solidFill>
              <a:effectLst/>
              <a:latin typeface="Arial" panose="020B0604020202020204" pitchFamily="34" charset="0"/>
              <a:ea typeface="+mn-ea"/>
              <a:cs typeface="Arial" panose="020B0604020202020204" pitchFamily="34" charset="0"/>
            </a:rPr>
            <a:t> </a:t>
          </a:r>
          <a:r>
            <a:rPr lang="en-GB" sz="900" b="0">
              <a:solidFill>
                <a:schemeClr val="dk1"/>
              </a:solidFill>
              <a:effectLst/>
              <a:latin typeface="Arial" panose="020B0604020202020204" pitchFamily="34" charset="0"/>
              <a:ea typeface="+mn-ea"/>
              <a:cs typeface="Arial" panose="020B0604020202020204" pitchFamily="34" charset="0"/>
            </a:rPr>
            <a:t>for the current version of this template.</a:t>
          </a:r>
          <a:endParaRPr lang="en-GB" sz="900">
            <a:effectLst/>
            <a:latin typeface="Arial" panose="020B0604020202020204" pitchFamily="34" charset="0"/>
            <a:cs typeface="Arial" panose="020B0604020202020204" pitchFamily="34" charset="0"/>
          </a:endParaRPr>
        </a:p>
        <a:p>
          <a:endParaRPr lang="en-GB" sz="1100"/>
        </a:p>
      </xdr:txBody>
    </xdr:sp>
    <xdr:clientData/>
  </xdr:twoCellAnchor>
  <xdr:oneCellAnchor>
    <xdr:from>
      <xdr:col>3</xdr:col>
      <xdr:colOff>1518557</xdr:colOff>
      <xdr:row>5</xdr:row>
      <xdr:rowOff>1268186</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447314" y="2253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(7)</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(8)</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eighth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(9)</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ninth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(10)</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(11)</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eleventh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(12)</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a:t>
          </a:r>
          <a:r>
            <a:rPr lang="en-GB" sz="1400" b="0">
              <a:solidFill>
                <a:schemeClr val="bg1"/>
              </a:solidFill>
              <a:effectLst/>
              <a:latin typeface="Arial" panose="020B0604020202020204" pitchFamily="34" charset="0"/>
              <a:ea typeface="+mn-ea"/>
              <a:cs typeface="Arial" panose="020B0604020202020204" pitchFamily="34" charset="0"/>
            </a:rPr>
            <a:t>the twelfth </a:t>
          </a:r>
          <a:r>
            <a:rPr lang="en-GB" sz="1400" b="0" baseline="0">
              <a:solidFill>
                <a:schemeClr val="bg1"/>
              </a:solidFill>
              <a:effectLst/>
              <a:latin typeface="Arial" panose="020B0604020202020204" pitchFamily="34" charset="0"/>
              <a:cs typeface="Arial" panose="020B0604020202020204" pitchFamily="34" charset="0"/>
            </a:rPr>
            <a:t>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F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(13)</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thirteenth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(14)</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fourteenth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1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47625</xdr:colOff>
      <xdr:row>0</xdr:row>
      <xdr:rowOff>0</xdr:rowOff>
    </xdr:from>
    <xdr:to>
      <xdr:col>5</xdr:col>
      <xdr:colOff>439200</xdr:colOff>
      <xdr:row>2</xdr:row>
      <xdr:rowOff>104775</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266700" y="0"/>
          <a:ext cx="724005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Summary of Cost Attribution</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1</xdr:col>
      <xdr:colOff>9525</xdr:colOff>
      <xdr:row>2</xdr:row>
      <xdr:rowOff>123825</xdr:rowOff>
    </xdr:from>
    <xdr:to>
      <xdr:col>5</xdr:col>
      <xdr:colOff>428625</xdr:colOff>
      <xdr:row>4</xdr:row>
      <xdr:rowOff>600075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28600" y="523875"/>
          <a:ext cx="7267575"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b="0">
              <a:solidFill>
                <a:sysClr val="windowText" lastClr="000000"/>
              </a:solidFill>
              <a:latin typeface="Arial" panose="020B0604020202020204" pitchFamily="34" charset="0"/>
              <a:cs typeface="Arial" panose="020B0604020202020204" pitchFamily="34" charset="0"/>
            </a:rPr>
            <a:t>This tab provides summary cost information calculated</a:t>
          </a:r>
          <a:r>
            <a:rPr lang="en-GB" sz="1100" b="0" baseline="0">
              <a:solidFill>
                <a:sysClr val="windowText" lastClr="000000"/>
              </a:solidFill>
              <a:latin typeface="Arial" panose="020B0604020202020204" pitchFamily="34" charset="0"/>
              <a:cs typeface="Arial" panose="020B0604020202020204" pitchFamily="34" charset="0"/>
            </a:rPr>
            <a:t> from data entered elsewhere in this tool.  No effort should be made to manually enter or alter the data below. The exception is the information requested in the </a:t>
          </a:r>
          <a:r>
            <a:rPr lang="en-GB" sz="1100" b="1" baseline="0">
              <a:solidFill>
                <a:srgbClr val="00A9CE"/>
              </a:solidFill>
              <a:latin typeface="Arial" panose="020B0604020202020204" pitchFamily="34" charset="0"/>
              <a:cs typeface="Arial" panose="020B0604020202020204" pitchFamily="34" charset="0"/>
            </a:rPr>
            <a:t>light turquoise</a:t>
          </a:r>
          <a:r>
            <a:rPr lang="en-GB" sz="1100" b="1" baseline="0">
              <a:solidFill>
                <a:srgbClr val="FFC000"/>
              </a:solidFill>
              <a:latin typeface="Arial" panose="020B0604020202020204" pitchFamily="34" charset="0"/>
              <a:cs typeface="Arial" panose="020B0604020202020204" pitchFamily="34" charset="0"/>
            </a:rPr>
            <a:t> </a:t>
          </a:r>
          <a:r>
            <a:rPr lang="en-GB" sz="1100" b="0" baseline="0">
              <a:solidFill>
                <a:sysClr val="windowText" lastClr="000000"/>
              </a:solidFill>
              <a:latin typeface="Arial" panose="020B0604020202020204" pitchFamily="34" charset="0"/>
              <a:cs typeface="Arial" panose="020B0604020202020204" pitchFamily="34" charset="0"/>
            </a:rPr>
            <a:t>cells (C37 and C38): "Current Cost of treatment (Drug/ Device) per patient per Month" and "Future Cost of treatment (Drug/ Device) per patient per Month".  Where applicable, estimates (or actual figures) should be provided for the drug/device cost under standard or care and that under the research study, this allows any excess costs or cost savings arising from the costs of drugs/devices to be factored into the calculations.</a:t>
          </a:r>
        </a:p>
        <a:p>
          <a:endParaRPr lang="en-GB" sz="1100" b="0" baseline="0">
            <a:solidFill>
              <a:sysClr val="windowText" lastClr="000000"/>
            </a:solidFill>
            <a:latin typeface="Arial" panose="020B0604020202020204" pitchFamily="34" charset="0"/>
            <a:cs typeface="Arial" panose="020B0604020202020204" pitchFamily="34" charset="0"/>
          </a:endParaRPr>
        </a:p>
        <a:p>
          <a:r>
            <a:rPr lang="en-GB" sz="1100" b="0" baseline="0">
              <a:solidFill>
                <a:sysClr val="windowText" lastClr="000000"/>
              </a:solidFill>
              <a:latin typeface="Arial" panose="020B0604020202020204" pitchFamily="34" charset="0"/>
              <a:cs typeface="Arial" panose="020B0604020202020204" pitchFamily="34" charset="0"/>
            </a:rPr>
            <a:t>Applicants are reminded that the cost attribution Schedule of Events is primarily an attribution tool, not a comprehensive costing template.  It is designed to support cost attribution of activities planned at the site level and does not take acount of study costs external to the site (e.g. central laboratory costs, study management, etc.).  Figures calculated below are intended to provide an indication of the level of support that different parties may choose to provide, they should not give rise to an expectation that any party will provide funds in line with these figures.</a:t>
          </a:r>
          <a:endParaRPr lang="en-GB"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2</xdr:row>
      <xdr:rowOff>46800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Standard of</a:t>
          </a:r>
          <a:r>
            <a:rPr lang="en-GB" sz="1800" b="0" baseline="0">
              <a:solidFill>
                <a:schemeClr val="bg1"/>
              </a:solidFill>
              <a:effectLst/>
              <a:latin typeface="Arial" panose="020B0604020202020204" pitchFamily="34" charset="0"/>
              <a:ea typeface="+mn-ea"/>
              <a:cs typeface="Arial" panose="020B0604020202020204" pitchFamily="34" charset="0"/>
            </a:rPr>
            <a:t> Care</a:t>
          </a:r>
          <a:endParaRPr lang="en-GB" sz="18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9524</xdr:colOff>
      <xdr:row>2</xdr:row>
      <xdr:rowOff>142872</xdr:rowOff>
    </xdr:from>
    <xdr:to>
      <xdr:col>4</xdr:col>
      <xdr:colOff>16328</xdr:colOff>
      <xdr:row>9</xdr:row>
      <xdr:rowOff>1578429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4" y="600072"/>
          <a:ext cx="9439275" cy="3035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This tab should be completed to</a:t>
          </a:r>
          <a:r>
            <a:rPr lang="en-GB" sz="1100" baseline="0">
              <a:solidFill>
                <a:sysClr val="windowText" lastClr="000000"/>
              </a:solidFill>
              <a:latin typeface="Arial" panose="020B0604020202020204" pitchFamily="34" charset="0"/>
              <a:cs typeface="Arial" panose="020B0604020202020204" pitchFamily="34" charset="0"/>
            </a:rPr>
            <a:t> best reflect the standard of care that participants in the study would otherwise receive.  Whilst it is acknowledged that standard care can vary within and between organisations and often be difficult to describe in a uniform fashion for a complex group of patients, providing a best estimation of standard of care allows key parties to assess the costs / cost savings associated with undertaking research.</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effectLst/>
              <a:latin typeface="Arial" panose="020B0604020202020204" pitchFamily="34" charset="0"/>
              <a:ea typeface="+mn-ea"/>
              <a:cs typeface="Arial" panose="020B0604020202020204" pitchFamily="34" charset="0"/>
            </a:rPr>
            <a:t>If</a:t>
          </a:r>
          <a:r>
            <a:rPr lang="en-GB" sz="1100" baseline="0">
              <a:solidFill>
                <a:sysClr val="windowText" lastClr="000000"/>
              </a:solidFill>
              <a:effectLst/>
              <a:latin typeface="Arial" panose="020B0604020202020204" pitchFamily="34" charset="0"/>
              <a:ea typeface="+mn-ea"/>
              <a:cs typeface="Arial" panose="020B0604020202020204" pitchFamily="34" charset="0"/>
            </a:rPr>
            <a:t> the proposed study does not involve any additional interventions to standard of care and also does not involve reducing the number or frequency of interventions (e.g. an observational study, a questionnaire study, etc.) this tab should be left blank</a:t>
          </a:r>
          <a:r>
            <a:rPr lang="en-GB" sz="1100" u="none" baseline="0">
              <a:solidFill>
                <a:sysClr val="windowText" lastClr="000000"/>
              </a:solidFill>
              <a:effectLst/>
              <a:latin typeface="Arial" panose="020B0604020202020204" pitchFamily="34" charset="0"/>
              <a:ea typeface="+mn-ea"/>
              <a:cs typeface="Arial" panose="020B0604020202020204" pitchFamily="34" charset="0"/>
            </a:rPr>
            <a:t>.</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Please note that this tab is intended only to form a baseline for costs, to allow excess costs/cost savings to be calculated.  If your study includes a standard of care arm, you must populate one of the 'Per-Participant' Arm tabs with this standard of care.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For the sake of accuracy and efficiency you may copy and paste between tabs by selecting the relevant cells (columns A-AG only).  If copying from the Standard of Care tab into one or more of the Per Participant tabs you must replace the ‘x’s with the AcoRD cost attribution using the drop down boxes.  Where you are completing multiple Per Participant tabs with similar activities on each, you may also use the copy-paste function to provide a starting point before tailoring each tab appropriately.</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r>
            <a:rPr lang="en-GB" sz="1100" u="none" baseline="0">
              <a:solidFill>
                <a:sysClr val="windowText" lastClr="000000"/>
              </a:solidFill>
              <a:effectLst/>
              <a:latin typeface="Arial" panose="020B0604020202020204" pitchFamily="34" charset="0"/>
              <a:ea typeface="+mn-ea"/>
              <a:cs typeface="Arial" panose="020B0604020202020204" pitchFamily="34" charset="0"/>
            </a:rPr>
            <a:t>Both the IRAS Reference Number and Per participant Standard of Care total cells autopopulate and should not be manually over-written.</a:t>
          </a:r>
          <a:endParaRPr lang="en-GB" sz="110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5146667</xdr:colOff>
      <xdr:row>2</xdr:row>
      <xdr:rowOff>144167</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List</a:t>
          </a:r>
          <a:r>
            <a:rPr lang="en-GB" sz="1800" b="0" baseline="0">
              <a:solidFill>
                <a:schemeClr val="bg1"/>
              </a:solidFill>
              <a:effectLst/>
              <a:latin typeface="Arial" panose="020B0604020202020204" pitchFamily="34" charset="0"/>
              <a:cs typeface="Arial" panose="020B0604020202020204" pitchFamily="34" charset="0"/>
            </a:rPr>
            <a:t> of Activities</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96300</xdr:colOff>
      <xdr:row>2</xdr:row>
      <xdr:rowOff>123000</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Non-Tariff</a:t>
          </a:r>
          <a:r>
            <a:rPr lang="en-GB" sz="1800" b="0" baseline="0">
              <a:solidFill>
                <a:schemeClr val="bg1"/>
              </a:solidFill>
              <a:latin typeface="Arial" panose="020B0604020202020204" pitchFamily="34" charset="0"/>
              <a:cs typeface="Arial" panose="020B0604020202020204" pitchFamily="34" charset="0"/>
            </a:rPr>
            <a:t> Costs</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2</xdr:row>
      <xdr:rowOff>95250</xdr:rowOff>
    </xdr:from>
    <xdr:to>
      <xdr:col>3</xdr:col>
      <xdr:colOff>38100</xdr:colOff>
      <xdr:row>9</xdr:row>
      <xdr:rowOff>228600</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0" y="476250"/>
          <a:ext cx="6781800"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a:solidFill>
                <a:sysClr val="windowText" lastClr="000000"/>
              </a:solidFill>
              <a:latin typeface="Arial" panose="020B0604020202020204" pitchFamily="34" charset="0"/>
              <a:cs typeface="Arial" panose="020B0604020202020204" pitchFamily="34" charset="0"/>
            </a:rPr>
            <a:t>Guidance</a:t>
          </a:r>
        </a:p>
        <a:p>
          <a:r>
            <a:rPr lang="en-GB" sz="1100" b="0" i="0" u="none">
              <a:latin typeface="Arial" panose="020B0604020202020204" pitchFamily="34" charset="0"/>
              <a:cs typeface="Arial" panose="020B0604020202020204" pitchFamily="34" charset="0"/>
            </a:rPr>
            <a:t>Where standard of</a:t>
          </a:r>
          <a:r>
            <a:rPr lang="en-GB" sz="1100" b="0" i="0" u="none" baseline="0">
              <a:latin typeface="Arial" panose="020B0604020202020204" pitchFamily="34" charset="0"/>
              <a:cs typeface="Arial" panose="020B0604020202020204" pitchFamily="34" charset="0"/>
            </a:rPr>
            <a:t> care, general activities or per participant activities involve procedures and/or investigations that are not present in the drop-downs (please first check the List of Activities tab for the alphabetical list of what is included in the drop-downs) additional procedures  and/or investigations may be added below.  These non-tariff costs, once added below, will be selectable from the Specific Activity drop-down on all tabs, if 'Non Tariff Cost' is first selected in the Area of Activity cell for that row.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Care should be taken in selecting whether a manually entered item is a procedure or an investigation. Procedures do not have fixed costs but are calculated by the cost of the time taken by an individual employed at a specific payscale to undertake (i.e. If your non tariff cost item is a procedure you should not enter a cost for it below but instead provide answers under the 'Duration' and 'Undertaken By' columns in the relevant tabs).  Investigations do have fixed costs, which include the associated staff time costs.  Where your manually entered item is an investigation, you should provide the cost below.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It is acknowledged that actual costs will change both over time and between NHS organisations.  Costs provided here, including staff time and grade estimates, can only be indicators.  This is true also of the tariff costs incorporated into the tool. </a:t>
          </a:r>
          <a:r>
            <a:rPr lang="en-GB" sz="1100" b="0" i="0" u="none" baseline="0">
              <a:solidFill>
                <a:sysClr val="windowText" lastClr="000000"/>
              </a:solidFill>
              <a:latin typeface="Arial" panose="020B0604020202020204" pitchFamily="34" charset="0"/>
              <a:cs typeface="Arial" panose="020B0604020202020204" pitchFamily="34" charset="0"/>
            </a:rPr>
            <a:t>Text  in column A (Activity) should be limited to 250 characters. Please do not make duplicate entries as  they will be ignored. Any duplicate entries will be highlighted in pink.</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379856</xdr:colOff>
      <xdr:row>0</xdr:row>
      <xdr:rowOff>834300</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0" y="0"/>
          <a:ext cx="6609206" cy="83430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Tariff</a:t>
          </a:r>
        </a:p>
        <a:p>
          <a:pPr algn="ctr"/>
          <a:endParaRPr lang="en-GB" sz="1800" b="0">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305850</xdr:colOff>
      <xdr:row>2</xdr:row>
      <xdr:rowOff>103950</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Menu</a:t>
          </a:r>
          <a:r>
            <a:rPr lang="en-GB" sz="1800" b="0" baseline="0">
              <a:solidFill>
                <a:schemeClr val="bg1"/>
              </a:solidFill>
              <a:effectLst/>
              <a:latin typeface="Arial" panose="020B0604020202020204" pitchFamily="34" charset="0"/>
              <a:ea typeface="+mn-ea"/>
              <a:cs typeface="Arial" panose="020B0604020202020204" pitchFamily="34" charset="0"/>
            </a:rPr>
            <a:t> Data</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6</xdr:col>
      <xdr:colOff>96300</xdr:colOff>
      <xdr:row>2</xdr:row>
      <xdr:rowOff>103950</xdr:rowOff>
    </xdr:to>
    <xdr:sp macro="" textlink="">
      <xdr:nvSpPr>
        <xdr:cNvPr id="3" name="Rounded Rectangle 2">
          <a:extLst>
            <a:ext uri="{FF2B5EF4-FFF2-40B4-BE49-F238E27FC236}">
              <a16:creationId xmlns:a16="http://schemas.microsoft.com/office/drawing/2014/main" id="{00000000-0008-0000-1700-000003000000}"/>
            </a:ext>
          </a:extLst>
        </xdr:cNvPr>
        <xdr:cNvSpPr/>
      </xdr:nvSpPr>
      <xdr:spPr>
        <a:xfrm>
          <a:off x="1905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Staff</a:t>
          </a:r>
          <a:r>
            <a:rPr lang="en-GB" sz="1800" b="0" baseline="0">
              <a:solidFill>
                <a:schemeClr val="bg1"/>
              </a:solidFill>
              <a:latin typeface="Arial" panose="020B0604020202020204" pitchFamily="34" charset="0"/>
              <a:cs typeface="Arial" panose="020B0604020202020204" pitchFamily="34" charset="0"/>
            </a:rPr>
            <a:t> Cost Table</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857250</xdr:colOff>
      <xdr:row>0</xdr:row>
      <xdr:rowOff>0</xdr:rowOff>
    </xdr:from>
    <xdr:to>
      <xdr:col>7</xdr:col>
      <xdr:colOff>812799</xdr:colOff>
      <xdr:row>2</xdr:row>
      <xdr:rowOff>138159</xdr:rowOff>
    </xdr:to>
    <xdr:grpSp>
      <xdr:nvGrpSpPr>
        <xdr:cNvPr id="47" name="Group 46">
          <a:extLst>
            <a:ext uri="{FF2B5EF4-FFF2-40B4-BE49-F238E27FC236}">
              <a16:creationId xmlns:a16="http://schemas.microsoft.com/office/drawing/2014/main" id="{00000000-0008-0000-1800-00002F000000}"/>
            </a:ext>
          </a:extLst>
        </xdr:cNvPr>
        <xdr:cNvGrpSpPr/>
      </xdr:nvGrpSpPr>
      <xdr:grpSpPr>
        <a:xfrm>
          <a:off x="10029825" y="0"/>
          <a:ext cx="1289049" cy="709659"/>
          <a:chOff x="6350" y="6350"/>
          <a:chExt cx="1141730" cy="706120"/>
        </a:xfrm>
      </xdr:grpSpPr>
      <xdr:grpSp>
        <xdr:nvGrpSpPr>
          <xdr:cNvPr id="48" name="Group 47">
            <a:extLst>
              <a:ext uri="{FF2B5EF4-FFF2-40B4-BE49-F238E27FC236}">
                <a16:creationId xmlns:a16="http://schemas.microsoft.com/office/drawing/2014/main" id="{00000000-0008-0000-1800-000030000000}"/>
              </a:ext>
            </a:extLst>
          </xdr:cNvPr>
          <xdr:cNvGrpSpPr>
            <a:grpSpLocks/>
          </xdr:cNvGrpSpPr>
        </xdr:nvGrpSpPr>
        <xdr:grpSpPr bwMode="auto">
          <a:xfrm>
            <a:off x="273050" y="6350"/>
            <a:ext cx="875030" cy="354330"/>
            <a:chOff x="14906" y="571"/>
            <a:chExt cx="1378" cy="558"/>
          </a:xfrm>
        </xdr:grpSpPr>
        <xdr:grpSp>
          <xdr:nvGrpSpPr>
            <xdr:cNvPr id="78" name="Group 77">
              <a:extLst>
                <a:ext uri="{FF2B5EF4-FFF2-40B4-BE49-F238E27FC236}">
                  <a16:creationId xmlns:a16="http://schemas.microsoft.com/office/drawing/2014/main" id="{00000000-0008-0000-1800-00004E000000}"/>
                </a:ext>
              </a:extLst>
            </xdr:cNvPr>
            <xdr:cNvGrpSpPr>
              <a:grpSpLocks/>
            </xdr:cNvGrpSpPr>
          </xdr:nvGrpSpPr>
          <xdr:grpSpPr bwMode="auto">
            <a:xfrm>
              <a:off x="14906" y="571"/>
              <a:ext cx="1378" cy="558"/>
              <a:chOff x="14906" y="571"/>
              <a:chExt cx="1378" cy="558"/>
            </a:xfrm>
          </xdr:grpSpPr>
          <xdr:sp macro="" textlink="">
            <xdr:nvSpPr>
              <xdr:cNvPr id="91" name="Freeform 90">
                <a:extLst>
                  <a:ext uri="{FF2B5EF4-FFF2-40B4-BE49-F238E27FC236}">
                    <a16:creationId xmlns:a16="http://schemas.microsoft.com/office/drawing/2014/main" id="{00000000-0008-0000-1800-00005B000000}"/>
                  </a:ext>
                </a:extLst>
              </xdr:cNvPr>
              <xdr:cNvSpPr>
                <a:spLocks/>
              </xdr:cNvSpPr>
            </xdr:nvSpPr>
            <xdr:spPr bwMode="auto">
              <a:xfrm>
                <a:off x="14906" y="571"/>
                <a:ext cx="1378" cy="558"/>
              </a:xfrm>
              <a:custGeom>
                <a:avLst/>
                <a:gdLst>
                  <a:gd name="T0" fmla="+- 0 14906 14906"/>
                  <a:gd name="T1" fmla="*/ T0 w 1378"/>
                  <a:gd name="T2" fmla="+- 0 1129 571"/>
                  <a:gd name="T3" fmla="*/ 1129 h 558"/>
                  <a:gd name="T4" fmla="+- 0 16284 14906"/>
                  <a:gd name="T5" fmla="*/ T4 w 1378"/>
                  <a:gd name="T6" fmla="+- 0 1129 571"/>
                  <a:gd name="T7" fmla="*/ 1129 h 558"/>
                  <a:gd name="T8" fmla="+- 0 16284 14906"/>
                  <a:gd name="T9" fmla="*/ T8 w 1378"/>
                  <a:gd name="T10" fmla="+- 0 571 571"/>
                  <a:gd name="T11" fmla="*/ 571 h 558"/>
                  <a:gd name="T12" fmla="+- 0 14906 14906"/>
                  <a:gd name="T13" fmla="*/ T12 w 1378"/>
                  <a:gd name="T14" fmla="+- 0 571 571"/>
                  <a:gd name="T15" fmla="*/ 571 h 558"/>
                  <a:gd name="T16" fmla="+- 0 14906 14906"/>
                  <a:gd name="T17" fmla="*/ T16 w 1378"/>
                  <a:gd name="T18" fmla="+- 0 1129 571"/>
                  <a:gd name="T19" fmla="*/ 1129 h 558"/>
                </a:gdLst>
                <a:ahLst/>
                <a:cxnLst>
                  <a:cxn ang="0">
                    <a:pos x="T1" y="T3"/>
                  </a:cxn>
                  <a:cxn ang="0">
                    <a:pos x="T5" y="T7"/>
                  </a:cxn>
                  <a:cxn ang="0">
                    <a:pos x="T9" y="T11"/>
                  </a:cxn>
                  <a:cxn ang="0">
                    <a:pos x="T13" y="T15"/>
                  </a:cxn>
                  <a:cxn ang="0">
                    <a:pos x="T17" y="T19"/>
                  </a:cxn>
                </a:cxnLst>
                <a:rect l="0" t="0" r="r" b="b"/>
                <a:pathLst>
                  <a:path w="1378" h="558">
                    <a:moveTo>
                      <a:pt x="0" y="558"/>
                    </a:moveTo>
                    <a:lnTo>
                      <a:pt x="1378" y="558"/>
                    </a:lnTo>
                    <a:lnTo>
                      <a:pt x="1378" y="0"/>
                    </a:lnTo>
                    <a:lnTo>
                      <a:pt x="0" y="0"/>
                    </a:lnTo>
                    <a:lnTo>
                      <a:pt x="0" y="558"/>
                    </a:lnTo>
                  </a:path>
                </a:pathLst>
              </a:custGeom>
              <a:solidFill>
                <a:srgbClr val="007AC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79" name="Group 78">
              <a:extLst>
                <a:ext uri="{FF2B5EF4-FFF2-40B4-BE49-F238E27FC236}">
                  <a16:creationId xmlns:a16="http://schemas.microsoft.com/office/drawing/2014/main" id="{00000000-0008-0000-1800-00004F000000}"/>
                </a:ext>
              </a:extLst>
            </xdr:cNvPr>
            <xdr:cNvGrpSpPr>
              <a:grpSpLocks/>
            </xdr:cNvGrpSpPr>
          </xdr:nvGrpSpPr>
          <xdr:grpSpPr bwMode="auto">
            <a:xfrm>
              <a:off x="14945" y="625"/>
              <a:ext cx="515" cy="449"/>
              <a:chOff x="14945" y="625"/>
              <a:chExt cx="515" cy="449"/>
            </a:xfrm>
          </xdr:grpSpPr>
          <xdr:sp macro="" textlink="">
            <xdr:nvSpPr>
              <xdr:cNvPr id="88" name="Freeform 87">
                <a:extLst>
                  <a:ext uri="{FF2B5EF4-FFF2-40B4-BE49-F238E27FC236}">
                    <a16:creationId xmlns:a16="http://schemas.microsoft.com/office/drawing/2014/main" id="{00000000-0008-0000-1800-000058000000}"/>
                  </a:ext>
                </a:extLst>
              </xdr:cNvPr>
              <xdr:cNvSpPr>
                <a:spLocks/>
              </xdr:cNvSpPr>
            </xdr:nvSpPr>
            <xdr:spPr bwMode="auto">
              <a:xfrm>
                <a:off x="14945" y="625"/>
                <a:ext cx="515" cy="449"/>
              </a:xfrm>
              <a:custGeom>
                <a:avLst/>
                <a:gdLst>
                  <a:gd name="T0" fmla="+- 0 15191 14945"/>
                  <a:gd name="T1" fmla="*/ T0 w 515"/>
                  <a:gd name="T2" fmla="+- 0 625 625"/>
                  <a:gd name="T3" fmla="*/ 625 h 449"/>
                  <a:gd name="T4" fmla="+- 0 15041 14945"/>
                  <a:gd name="T5" fmla="*/ T4 w 515"/>
                  <a:gd name="T6" fmla="+- 0 625 625"/>
                  <a:gd name="T7" fmla="*/ 625 h 449"/>
                  <a:gd name="T8" fmla="+- 0 14945 14945"/>
                  <a:gd name="T9" fmla="*/ T8 w 515"/>
                  <a:gd name="T10" fmla="+- 0 1074 625"/>
                  <a:gd name="T11" fmla="*/ 1074 h 449"/>
                  <a:gd name="T12" fmla="+- 0 15058 14945"/>
                  <a:gd name="T13" fmla="*/ T12 w 515"/>
                  <a:gd name="T14" fmla="+- 0 1074 625"/>
                  <a:gd name="T15" fmla="*/ 1074 h 449"/>
                  <a:gd name="T16" fmla="+- 0 15121 14945"/>
                  <a:gd name="T17" fmla="*/ T16 w 515"/>
                  <a:gd name="T18" fmla="+- 0 763 625"/>
                  <a:gd name="T19" fmla="*/ 763 h 449"/>
                  <a:gd name="T20" fmla="+- 0 15232 14945"/>
                  <a:gd name="T21" fmla="*/ T20 w 515"/>
                  <a:gd name="T22" fmla="+- 0 763 625"/>
                  <a:gd name="T23" fmla="*/ 763 h 449"/>
                  <a:gd name="T24" fmla="+- 0 15191 14945"/>
                  <a:gd name="T25" fmla="*/ T24 w 515"/>
                  <a:gd name="T26" fmla="+- 0 625 625"/>
                  <a:gd name="T27" fmla="*/ 625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46" y="0"/>
                    </a:moveTo>
                    <a:lnTo>
                      <a:pt x="96" y="0"/>
                    </a:lnTo>
                    <a:lnTo>
                      <a:pt x="0" y="449"/>
                    </a:lnTo>
                    <a:lnTo>
                      <a:pt x="113" y="449"/>
                    </a:lnTo>
                    <a:lnTo>
                      <a:pt x="176" y="138"/>
                    </a:lnTo>
                    <a:lnTo>
                      <a:pt x="287" y="138"/>
                    </a:lnTo>
                    <a:lnTo>
                      <a:pt x="24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9" name="Freeform 88">
                <a:extLst>
                  <a:ext uri="{FF2B5EF4-FFF2-40B4-BE49-F238E27FC236}">
                    <a16:creationId xmlns:a16="http://schemas.microsoft.com/office/drawing/2014/main" id="{00000000-0008-0000-1800-000059000000}"/>
                  </a:ext>
                </a:extLst>
              </xdr:cNvPr>
              <xdr:cNvSpPr>
                <a:spLocks/>
              </xdr:cNvSpPr>
            </xdr:nvSpPr>
            <xdr:spPr bwMode="auto">
              <a:xfrm>
                <a:off x="14945" y="625"/>
                <a:ext cx="515" cy="449"/>
              </a:xfrm>
              <a:custGeom>
                <a:avLst/>
                <a:gdLst>
                  <a:gd name="T0" fmla="+- 0 15232 14945"/>
                  <a:gd name="T1" fmla="*/ T0 w 515"/>
                  <a:gd name="T2" fmla="+- 0 763 625"/>
                  <a:gd name="T3" fmla="*/ 763 h 449"/>
                  <a:gd name="T4" fmla="+- 0 15122 14945"/>
                  <a:gd name="T5" fmla="*/ T4 w 515"/>
                  <a:gd name="T6" fmla="+- 0 763 625"/>
                  <a:gd name="T7" fmla="*/ 763 h 449"/>
                  <a:gd name="T8" fmla="+- 0 15216 14945"/>
                  <a:gd name="T9" fmla="*/ T8 w 515"/>
                  <a:gd name="T10" fmla="+- 0 1074 625"/>
                  <a:gd name="T11" fmla="*/ 1074 h 449"/>
                  <a:gd name="T12" fmla="+- 0 15365 14945"/>
                  <a:gd name="T13" fmla="*/ T12 w 515"/>
                  <a:gd name="T14" fmla="+- 0 1074 625"/>
                  <a:gd name="T15" fmla="*/ 1074 h 449"/>
                  <a:gd name="T16" fmla="+- 0 15394 14945"/>
                  <a:gd name="T17" fmla="*/ T16 w 515"/>
                  <a:gd name="T18" fmla="+- 0 936 625"/>
                  <a:gd name="T19" fmla="*/ 936 h 449"/>
                  <a:gd name="T20" fmla="+- 0 15283 14945"/>
                  <a:gd name="T21" fmla="*/ T20 w 515"/>
                  <a:gd name="T22" fmla="+- 0 936 625"/>
                  <a:gd name="T23" fmla="*/ 936 h 449"/>
                  <a:gd name="T24" fmla="+- 0 15232 14945"/>
                  <a:gd name="T25" fmla="*/ T24 w 515"/>
                  <a:gd name="T26" fmla="+- 0 763 625"/>
                  <a:gd name="T27" fmla="*/ 763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87" y="138"/>
                    </a:moveTo>
                    <a:lnTo>
                      <a:pt x="177" y="138"/>
                    </a:lnTo>
                    <a:lnTo>
                      <a:pt x="271" y="449"/>
                    </a:lnTo>
                    <a:lnTo>
                      <a:pt x="420" y="449"/>
                    </a:lnTo>
                    <a:lnTo>
                      <a:pt x="449" y="311"/>
                    </a:lnTo>
                    <a:lnTo>
                      <a:pt x="338" y="311"/>
                    </a:lnTo>
                    <a:lnTo>
                      <a:pt x="287" y="138"/>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0" name="Freeform 89">
                <a:extLst>
                  <a:ext uri="{FF2B5EF4-FFF2-40B4-BE49-F238E27FC236}">
                    <a16:creationId xmlns:a16="http://schemas.microsoft.com/office/drawing/2014/main" id="{00000000-0008-0000-1800-00005A000000}"/>
                  </a:ext>
                </a:extLst>
              </xdr:cNvPr>
              <xdr:cNvSpPr>
                <a:spLocks/>
              </xdr:cNvSpPr>
            </xdr:nvSpPr>
            <xdr:spPr bwMode="auto">
              <a:xfrm>
                <a:off x="14945" y="625"/>
                <a:ext cx="515" cy="449"/>
              </a:xfrm>
              <a:custGeom>
                <a:avLst/>
                <a:gdLst>
                  <a:gd name="T0" fmla="+- 0 15460 14945"/>
                  <a:gd name="T1" fmla="*/ T0 w 515"/>
                  <a:gd name="T2" fmla="+- 0 625 625"/>
                  <a:gd name="T3" fmla="*/ 625 h 449"/>
                  <a:gd name="T4" fmla="+- 0 15347 14945"/>
                  <a:gd name="T5" fmla="*/ T4 w 515"/>
                  <a:gd name="T6" fmla="+- 0 625 625"/>
                  <a:gd name="T7" fmla="*/ 625 h 449"/>
                  <a:gd name="T8" fmla="+- 0 15284 14945"/>
                  <a:gd name="T9" fmla="*/ T8 w 515"/>
                  <a:gd name="T10" fmla="+- 0 936 625"/>
                  <a:gd name="T11" fmla="*/ 936 h 449"/>
                  <a:gd name="T12" fmla="+- 0 15394 14945"/>
                  <a:gd name="T13" fmla="*/ T12 w 515"/>
                  <a:gd name="T14" fmla="+- 0 936 625"/>
                  <a:gd name="T15" fmla="*/ 936 h 449"/>
                  <a:gd name="T16" fmla="+- 0 15460 14945"/>
                  <a:gd name="T17" fmla="*/ T16 w 515"/>
                  <a:gd name="T18" fmla="+- 0 625 625"/>
                  <a:gd name="T19" fmla="*/ 625 h 449"/>
                </a:gdLst>
                <a:ahLst/>
                <a:cxnLst>
                  <a:cxn ang="0">
                    <a:pos x="T1" y="T3"/>
                  </a:cxn>
                  <a:cxn ang="0">
                    <a:pos x="T5" y="T7"/>
                  </a:cxn>
                  <a:cxn ang="0">
                    <a:pos x="T9" y="T11"/>
                  </a:cxn>
                  <a:cxn ang="0">
                    <a:pos x="T13" y="T15"/>
                  </a:cxn>
                  <a:cxn ang="0">
                    <a:pos x="T17" y="T19"/>
                  </a:cxn>
                </a:cxnLst>
                <a:rect l="0" t="0" r="r" b="b"/>
                <a:pathLst>
                  <a:path w="515" h="449">
                    <a:moveTo>
                      <a:pt x="515" y="0"/>
                    </a:moveTo>
                    <a:lnTo>
                      <a:pt x="402" y="0"/>
                    </a:lnTo>
                    <a:lnTo>
                      <a:pt x="339" y="311"/>
                    </a:lnTo>
                    <a:lnTo>
                      <a:pt x="449" y="311"/>
                    </a:lnTo>
                    <a:lnTo>
                      <a:pt x="515"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0" name="Group 79">
              <a:extLst>
                <a:ext uri="{FF2B5EF4-FFF2-40B4-BE49-F238E27FC236}">
                  <a16:creationId xmlns:a16="http://schemas.microsoft.com/office/drawing/2014/main" id="{00000000-0008-0000-1800-000050000000}"/>
                </a:ext>
              </a:extLst>
            </xdr:cNvPr>
            <xdr:cNvGrpSpPr>
              <a:grpSpLocks/>
            </xdr:cNvGrpSpPr>
          </xdr:nvGrpSpPr>
          <xdr:grpSpPr bwMode="auto">
            <a:xfrm>
              <a:off x="15411" y="625"/>
              <a:ext cx="476" cy="449"/>
              <a:chOff x="15411" y="625"/>
              <a:chExt cx="476" cy="449"/>
            </a:xfrm>
          </xdr:grpSpPr>
          <xdr:sp macro="" textlink="">
            <xdr:nvSpPr>
              <xdr:cNvPr id="85" name="Freeform 84">
                <a:extLst>
                  <a:ext uri="{FF2B5EF4-FFF2-40B4-BE49-F238E27FC236}">
                    <a16:creationId xmlns:a16="http://schemas.microsoft.com/office/drawing/2014/main" id="{00000000-0008-0000-1800-000055000000}"/>
                  </a:ext>
                </a:extLst>
              </xdr:cNvPr>
              <xdr:cNvSpPr>
                <a:spLocks/>
              </xdr:cNvSpPr>
            </xdr:nvSpPr>
            <xdr:spPr bwMode="auto">
              <a:xfrm>
                <a:off x="15411" y="625"/>
                <a:ext cx="476" cy="449"/>
              </a:xfrm>
              <a:custGeom>
                <a:avLst/>
                <a:gdLst>
                  <a:gd name="T0" fmla="+- 0 15625 15411"/>
                  <a:gd name="T1" fmla="*/ T0 w 476"/>
                  <a:gd name="T2" fmla="+- 0 625 625"/>
                  <a:gd name="T3" fmla="*/ 625 h 449"/>
                  <a:gd name="T4" fmla="+- 0 15505 15411"/>
                  <a:gd name="T5" fmla="*/ T4 w 476"/>
                  <a:gd name="T6" fmla="+- 0 625 625"/>
                  <a:gd name="T7" fmla="*/ 625 h 449"/>
                  <a:gd name="T8" fmla="+- 0 15411 15411"/>
                  <a:gd name="T9" fmla="*/ T8 w 476"/>
                  <a:gd name="T10" fmla="+- 0 1074 625"/>
                  <a:gd name="T11" fmla="*/ 1074 h 449"/>
                  <a:gd name="T12" fmla="+- 0 15532 15411"/>
                  <a:gd name="T13" fmla="*/ T12 w 476"/>
                  <a:gd name="T14" fmla="+- 0 1074 625"/>
                  <a:gd name="T15" fmla="*/ 1074 h 449"/>
                  <a:gd name="T16" fmla="+- 0 15572 15411"/>
                  <a:gd name="T17" fmla="*/ T16 w 476"/>
                  <a:gd name="T18" fmla="+- 0 881 625"/>
                  <a:gd name="T19" fmla="*/ 881 h 449"/>
                  <a:gd name="T20" fmla="+- 0 15834 15411"/>
                  <a:gd name="T21" fmla="*/ T20 w 476"/>
                  <a:gd name="T22" fmla="+- 0 881 625"/>
                  <a:gd name="T23" fmla="*/ 881 h 449"/>
                  <a:gd name="T24" fmla="+- 0 15852 15411"/>
                  <a:gd name="T25" fmla="*/ T24 w 476"/>
                  <a:gd name="T26" fmla="+- 0 796 625"/>
                  <a:gd name="T27" fmla="*/ 796 h 449"/>
                  <a:gd name="T28" fmla="+- 0 15590 15411"/>
                  <a:gd name="T29" fmla="*/ T28 w 476"/>
                  <a:gd name="T30" fmla="+- 0 796 625"/>
                  <a:gd name="T31" fmla="*/ 796 h 449"/>
                  <a:gd name="T32" fmla="+- 0 15625 15411"/>
                  <a:gd name="T33" fmla="*/ T32 w 476"/>
                  <a:gd name="T34" fmla="+- 0 625 625"/>
                  <a:gd name="T35" fmla="*/ 625 h 44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476" h="449">
                    <a:moveTo>
                      <a:pt x="214" y="0"/>
                    </a:moveTo>
                    <a:lnTo>
                      <a:pt x="94" y="0"/>
                    </a:lnTo>
                    <a:lnTo>
                      <a:pt x="0" y="449"/>
                    </a:lnTo>
                    <a:lnTo>
                      <a:pt x="121" y="449"/>
                    </a:lnTo>
                    <a:lnTo>
                      <a:pt x="161" y="256"/>
                    </a:lnTo>
                    <a:lnTo>
                      <a:pt x="423" y="256"/>
                    </a:lnTo>
                    <a:lnTo>
                      <a:pt x="441" y="171"/>
                    </a:lnTo>
                    <a:lnTo>
                      <a:pt x="179" y="171"/>
                    </a:lnTo>
                    <a:lnTo>
                      <a:pt x="214"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6" name="Freeform 85">
                <a:extLst>
                  <a:ext uri="{FF2B5EF4-FFF2-40B4-BE49-F238E27FC236}">
                    <a16:creationId xmlns:a16="http://schemas.microsoft.com/office/drawing/2014/main" id="{00000000-0008-0000-1800-000056000000}"/>
                  </a:ext>
                </a:extLst>
              </xdr:cNvPr>
              <xdr:cNvSpPr>
                <a:spLocks/>
              </xdr:cNvSpPr>
            </xdr:nvSpPr>
            <xdr:spPr bwMode="auto">
              <a:xfrm>
                <a:off x="15411" y="625"/>
                <a:ext cx="476" cy="449"/>
              </a:xfrm>
              <a:custGeom>
                <a:avLst/>
                <a:gdLst>
                  <a:gd name="T0" fmla="+- 0 15834 15411"/>
                  <a:gd name="T1" fmla="*/ T0 w 476"/>
                  <a:gd name="T2" fmla="+- 0 881 625"/>
                  <a:gd name="T3" fmla="*/ 881 h 449"/>
                  <a:gd name="T4" fmla="+- 0 15714 15411"/>
                  <a:gd name="T5" fmla="*/ T4 w 476"/>
                  <a:gd name="T6" fmla="+- 0 881 625"/>
                  <a:gd name="T7" fmla="*/ 881 h 449"/>
                  <a:gd name="T8" fmla="+- 0 15674 15411"/>
                  <a:gd name="T9" fmla="*/ T8 w 476"/>
                  <a:gd name="T10" fmla="+- 0 1074 625"/>
                  <a:gd name="T11" fmla="*/ 1074 h 449"/>
                  <a:gd name="T12" fmla="+- 0 15794 15411"/>
                  <a:gd name="T13" fmla="*/ T12 w 476"/>
                  <a:gd name="T14" fmla="+- 0 1074 625"/>
                  <a:gd name="T15" fmla="*/ 1074 h 449"/>
                  <a:gd name="T16" fmla="+- 0 15834 15411"/>
                  <a:gd name="T17" fmla="*/ T16 w 476"/>
                  <a:gd name="T18" fmla="+- 0 881 625"/>
                  <a:gd name="T19" fmla="*/ 881 h 449"/>
                </a:gdLst>
                <a:ahLst/>
                <a:cxnLst>
                  <a:cxn ang="0">
                    <a:pos x="T1" y="T3"/>
                  </a:cxn>
                  <a:cxn ang="0">
                    <a:pos x="T5" y="T7"/>
                  </a:cxn>
                  <a:cxn ang="0">
                    <a:pos x="T9" y="T11"/>
                  </a:cxn>
                  <a:cxn ang="0">
                    <a:pos x="T13" y="T15"/>
                  </a:cxn>
                  <a:cxn ang="0">
                    <a:pos x="T17" y="T19"/>
                  </a:cxn>
                </a:cxnLst>
                <a:rect l="0" t="0" r="r" b="b"/>
                <a:pathLst>
                  <a:path w="476" h="449">
                    <a:moveTo>
                      <a:pt x="423" y="256"/>
                    </a:moveTo>
                    <a:lnTo>
                      <a:pt x="303" y="256"/>
                    </a:lnTo>
                    <a:lnTo>
                      <a:pt x="263" y="449"/>
                    </a:lnTo>
                    <a:lnTo>
                      <a:pt x="383" y="449"/>
                    </a:lnTo>
                    <a:lnTo>
                      <a:pt x="423" y="256"/>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7" name="Freeform 86">
                <a:extLst>
                  <a:ext uri="{FF2B5EF4-FFF2-40B4-BE49-F238E27FC236}">
                    <a16:creationId xmlns:a16="http://schemas.microsoft.com/office/drawing/2014/main" id="{00000000-0008-0000-1800-000057000000}"/>
                  </a:ext>
                </a:extLst>
              </xdr:cNvPr>
              <xdr:cNvSpPr>
                <a:spLocks/>
              </xdr:cNvSpPr>
            </xdr:nvSpPr>
            <xdr:spPr bwMode="auto">
              <a:xfrm>
                <a:off x="15411" y="625"/>
                <a:ext cx="476" cy="449"/>
              </a:xfrm>
              <a:custGeom>
                <a:avLst/>
                <a:gdLst>
                  <a:gd name="T0" fmla="+- 0 15887 15411"/>
                  <a:gd name="T1" fmla="*/ T0 w 476"/>
                  <a:gd name="T2" fmla="+- 0 625 625"/>
                  <a:gd name="T3" fmla="*/ 625 h 449"/>
                  <a:gd name="T4" fmla="+- 0 15767 15411"/>
                  <a:gd name="T5" fmla="*/ T4 w 476"/>
                  <a:gd name="T6" fmla="+- 0 625 625"/>
                  <a:gd name="T7" fmla="*/ 625 h 449"/>
                  <a:gd name="T8" fmla="+- 0 15732 15411"/>
                  <a:gd name="T9" fmla="*/ T8 w 476"/>
                  <a:gd name="T10" fmla="+- 0 796 625"/>
                  <a:gd name="T11" fmla="*/ 796 h 449"/>
                  <a:gd name="T12" fmla="+- 0 15852 15411"/>
                  <a:gd name="T13" fmla="*/ T12 w 476"/>
                  <a:gd name="T14" fmla="+- 0 796 625"/>
                  <a:gd name="T15" fmla="*/ 796 h 449"/>
                  <a:gd name="T16" fmla="+- 0 15887 15411"/>
                  <a:gd name="T17" fmla="*/ T16 w 476"/>
                  <a:gd name="T18" fmla="+- 0 625 625"/>
                  <a:gd name="T19" fmla="*/ 625 h 449"/>
                </a:gdLst>
                <a:ahLst/>
                <a:cxnLst>
                  <a:cxn ang="0">
                    <a:pos x="T1" y="T3"/>
                  </a:cxn>
                  <a:cxn ang="0">
                    <a:pos x="T5" y="T7"/>
                  </a:cxn>
                  <a:cxn ang="0">
                    <a:pos x="T9" y="T11"/>
                  </a:cxn>
                  <a:cxn ang="0">
                    <a:pos x="T13" y="T15"/>
                  </a:cxn>
                  <a:cxn ang="0">
                    <a:pos x="T17" y="T19"/>
                  </a:cxn>
                </a:cxnLst>
                <a:rect l="0" t="0" r="r" b="b"/>
                <a:pathLst>
                  <a:path w="476" h="449">
                    <a:moveTo>
                      <a:pt x="476" y="0"/>
                    </a:moveTo>
                    <a:lnTo>
                      <a:pt x="356" y="0"/>
                    </a:lnTo>
                    <a:lnTo>
                      <a:pt x="321" y="171"/>
                    </a:lnTo>
                    <a:lnTo>
                      <a:pt x="441" y="171"/>
                    </a:lnTo>
                    <a:lnTo>
                      <a:pt x="47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1" name="Group 80">
              <a:extLst>
                <a:ext uri="{FF2B5EF4-FFF2-40B4-BE49-F238E27FC236}">
                  <a16:creationId xmlns:a16="http://schemas.microsoft.com/office/drawing/2014/main" id="{00000000-0008-0000-1800-000051000000}"/>
                </a:ext>
              </a:extLst>
            </xdr:cNvPr>
            <xdr:cNvGrpSpPr>
              <a:grpSpLocks/>
            </xdr:cNvGrpSpPr>
          </xdr:nvGrpSpPr>
          <xdr:grpSpPr bwMode="auto">
            <a:xfrm>
              <a:off x="15840" y="617"/>
              <a:ext cx="381" cy="464"/>
              <a:chOff x="15840" y="617"/>
              <a:chExt cx="381" cy="464"/>
            </a:xfrm>
          </xdr:grpSpPr>
          <xdr:sp macro="" textlink="">
            <xdr:nvSpPr>
              <xdr:cNvPr id="82" name="Freeform 81">
                <a:extLst>
                  <a:ext uri="{FF2B5EF4-FFF2-40B4-BE49-F238E27FC236}">
                    <a16:creationId xmlns:a16="http://schemas.microsoft.com/office/drawing/2014/main" id="{00000000-0008-0000-1800-000052000000}"/>
                  </a:ext>
                </a:extLst>
              </xdr:cNvPr>
              <xdr:cNvSpPr>
                <a:spLocks/>
              </xdr:cNvSpPr>
            </xdr:nvSpPr>
            <xdr:spPr bwMode="auto">
              <a:xfrm>
                <a:off x="15840" y="617"/>
                <a:ext cx="381" cy="464"/>
              </a:xfrm>
              <a:custGeom>
                <a:avLst/>
                <a:gdLst>
                  <a:gd name="T0" fmla="+- 0 15863 15840"/>
                  <a:gd name="T1" fmla="*/ T0 w 381"/>
                  <a:gd name="T2" fmla="+- 0 967 617"/>
                  <a:gd name="T3" fmla="*/ 967 h 464"/>
                  <a:gd name="T4" fmla="+- 0 15840 15840"/>
                  <a:gd name="T5" fmla="*/ T4 w 381"/>
                  <a:gd name="T6" fmla="+- 0 1060 617"/>
                  <a:gd name="T7" fmla="*/ 1060 h 464"/>
                  <a:gd name="T8" fmla="+- 0 15857 15840"/>
                  <a:gd name="T9" fmla="*/ T8 w 381"/>
                  <a:gd name="T10" fmla="+- 0 1065 617"/>
                  <a:gd name="T11" fmla="*/ 1065 h 464"/>
                  <a:gd name="T12" fmla="+- 0 15876 15840"/>
                  <a:gd name="T13" fmla="*/ T12 w 381"/>
                  <a:gd name="T14" fmla="+- 0 1069 617"/>
                  <a:gd name="T15" fmla="*/ 1069 h 464"/>
                  <a:gd name="T16" fmla="+- 0 15937 15840"/>
                  <a:gd name="T17" fmla="*/ T16 w 381"/>
                  <a:gd name="T18" fmla="+- 0 1079 617"/>
                  <a:gd name="T19" fmla="*/ 1079 h 464"/>
                  <a:gd name="T20" fmla="+- 0 15980 15840"/>
                  <a:gd name="T21" fmla="*/ T20 w 381"/>
                  <a:gd name="T22" fmla="+- 0 1081 617"/>
                  <a:gd name="T23" fmla="*/ 1081 h 464"/>
                  <a:gd name="T24" fmla="+- 0 16002 15840"/>
                  <a:gd name="T25" fmla="*/ T24 w 381"/>
                  <a:gd name="T26" fmla="+- 0 1080 617"/>
                  <a:gd name="T27" fmla="*/ 1080 h 464"/>
                  <a:gd name="T28" fmla="+- 0 16067 15840"/>
                  <a:gd name="T29" fmla="*/ T28 w 381"/>
                  <a:gd name="T30" fmla="+- 0 1070 617"/>
                  <a:gd name="T31" fmla="*/ 1070 h 464"/>
                  <a:gd name="T32" fmla="+- 0 16124 15840"/>
                  <a:gd name="T33" fmla="*/ T32 w 381"/>
                  <a:gd name="T34" fmla="+- 0 1045 617"/>
                  <a:gd name="T35" fmla="*/ 1045 h 464"/>
                  <a:gd name="T36" fmla="+- 0 16168 15840"/>
                  <a:gd name="T37" fmla="*/ T36 w 381"/>
                  <a:gd name="T38" fmla="+- 0 1000 617"/>
                  <a:gd name="T39" fmla="*/ 1000 h 464"/>
                  <a:gd name="T40" fmla="+- 0 16171 15840"/>
                  <a:gd name="T41" fmla="*/ T40 w 381"/>
                  <a:gd name="T42" fmla="+- 0 992 617"/>
                  <a:gd name="T43" fmla="*/ 992 h 464"/>
                  <a:gd name="T44" fmla="+- 0 15959 15840"/>
                  <a:gd name="T45" fmla="*/ T44 w 381"/>
                  <a:gd name="T46" fmla="+- 0 992 617"/>
                  <a:gd name="T47" fmla="*/ 992 h 464"/>
                  <a:gd name="T48" fmla="+- 0 15937 15840"/>
                  <a:gd name="T49" fmla="*/ T48 w 381"/>
                  <a:gd name="T50" fmla="+- 0 990 617"/>
                  <a:gd name="T51" fmla="*/ 990 h 464"/>
                  <a:gd name="T52" fmla="+- 0 15916 15840"/>
                  <a:gd name="T53" fmla="*/ T52 w 381"/>
                  <a:gd name="T54" fmla="+- 0 986 617"/>
                  <a:gd name="T55" fmla="*/ 986 h 464"/>
                  <a:gd name="T56" fmla="+- 0 15895 15840"/>
                  <a:gd name="T57" fmla="*/ T56 w 381"/>
                  <a:gd name="T58" fmla="+- 0 981 617"/>
                  <a:gd name="T59" fmla="*/ 981 h 464"/>
                  <a:gd name="T60" fmla="+- 0 15877 15840"/>
                  <a:gd name="T61" fmla="*/ T60 w 381"/>
                  <a:gd name="T62" fmla="+- 0 974 617"/>
                  <a:gd name="T63" fmla="*/ 974 h 464"/>
                  <a:gd name="T64" fmla="+- 0 15863 15840"/>
                  <a:gd name="T65" fmla="*/ T64 w 381"/>
                  <a:gd name="T66" fmla="+- 0 967 617"/>
                  <a:gd name="T67" fmla="*/ 96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381" h="464">
                    <a:moveTo>
                      <a:pt x="23" y="350"/>
                    </a:moveTo>
                    <a:lnTo>
                      <a:pt x="0" y="443"/>
                    </a:lnTo>
                    <a:lnTo>
                      <a:pt x="17" y="448"/>
                    </a:lnTo>
                    <a:lnTo>
                      <a:pt x="36" y="452"/>
                    </a:lnTo>
                    <a:lnTo>
                      <a:pt x="97" y="462"/>
                    </a:lnTo>
                    <a:lnTo>
                      <a:pt x="140" y="464"/>
                    </a:lnTo>
                    <a:lnTo>
                      <a:pt x="162" y="463"/>
                    </a:lnTo>
                    <a:lnTo>
                      <a:pt x="227" y="453"/>
                    </a:lnTo>
                    <a:lnTo>
                      <a:pt x="284" y="428"/>
                    </a:lnTo>
                    <a:lnTo>
                      <a:pt x="328" y="383"/>
                    </a:lnTo>
                    <a:lnTo>
                      <a:pt x="331" y="375"/>
                    </a:lnTo>
                    <a:lnTo>
                      <a:pt x="119" y="375"/>
                    </a:lnTo>
                    <a:lnTo>
                      <a:pt x="97" y="373"/>
                    </a:lnTo>
                    <a:lnTo>
                      <a:pt x="76" y="369"/>
                    </a:lnTo>
                    <a:lnTo>
                      <a:pt x="55" y="364"/>
                    </a:lnTo>
                    <a:lnTo>
                      <a:pt x="37" y="357"/>
                    </a:lnTo>
                    <a:lnTo>
                      <a:pt x="23" y="35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3" name="Freeform 82">
                <a:extLst>
                  <a:ext uri="{FF2B5EF4-FFF2-40B4-BE49-F238E27FC236}">
                    <a16:creationId xmlns:a16="http://schemas.microsoft.com/office/drawing/2014/main" id="{00000000-0008-0000-1800-000053000000}"/>
                  </a:ext>
                </a:extLst>
              </xdr:cNvPr>
              <xdr:cNvSpPr>
                <a:spLocks/>
              </xdr:cNvSpPr>
            </xdr:nvSpPr>
            <xdr:spPr bwMode="auto">
              <a:xfrm>
                <a:off x="15840" y="617"/>
                <a:ext cx="381" cy="464"/>
              </a:xfrm>
              <a:custGeom>
                <a:avLst/>
                <a:gdLst>
                  <a:gd name="T0" fmla="+- 0 16076 15840"/>
                  <a:gd name="T1" fmla="*/ T0 w 381"/>
                  <a:gd name="T2" fmla="+- 0 617 617"/>
                  <a:gd name="T3" fmla="*/ 617 h 464"/>
                  <a:gd name="T4" fmla="+- 0 16009 15840"/>
                  <a:gd name="T5" fmla="*/ T4 w 381"/>
                  <a:gd name="T6" fmla="+- 0 628 617"/>
                  <a:gd name="T7" fmla="*/ 628 h 464"/>
                  <a:gd name="T8" fmla="+- 0 15951 15840"/>
                  <a:gd name="T9" fmla="*/ T8 w 381"/>
                  <a:gd name="T10" fmla="+- 0 655 617"/>
                  <a:gd name="T11" fmla="*/ 655 h 464"/>
                  <a:gd name="T12" fmla="+- 0 15910 15840"/>
                  <a:gd name="T13" fmla="*/ T12 w 381"/>
                  <a:gd name="T14" fmla="+- 0 703 617"/>
                  <a:gd name="T15" fmla="*/ 703 h 464"/>
                  <a:gd name="T16" fmla="+- 0 15895 15840"/>
                  <a:gd name="T17" fmla="*/ T16 w 381"/>
                  <a:gd name="T18" fmla="+- 0 777 617"/>
                  <a:gd name="T19" fmla="*/ 777 h 464"/>
                  <a:gd name="T20" fmla="+- 0 15899 15840"/>
                  <a:gd name="T21" fmla="*/ T20 w 381"/>
                  <a:gd name="T22" fmla="+- 0 800 617"/>
                  <a:gd name="T23" fmla="*/ 800 h 464"/>
                  <a:gd name="T24" fmla="+- 0 15950 15840"/>
                  <a:gd name="T25" fmla="*/ T24 w 381"/>
                  <a:gd name="T26" fmla="+- 0 859 617"/>
                  <a:gd name="T27" fmla="*/ 859 h 464"/>
                  <a:gd name="T28" fmla="+- 0 16003 15840"/>
                  <a:gd name="T29" fmla="*/ T28 w 381"/>
                  <a:gd name="T30" fmla="+- 0 883 617"/>
                  <a:gd name="T31" fmla="*/ 883 h 464"/>
                  <a:gd name="T32" fmla="+- 0 16021 15840"/>
                  <a:gd name="T33" fmla="*/ T32 w 381"/>
                  <a:gd name="T34" fmla="+- 0 890 617"/>
                  <a:gd name="T35" fmla="*/ 890 h 464"/>
                  <a:gd name="T36" fmla="+- 0 16069 15840"/>
                  <a:gd name="T37" fmla="*/ T36 w 381"/>
                  <a:gd name="T38" fmla="+- 0 942 617"/>
                  <a:gd name="T39" fmla="*/ 942 h 464"/>
                  <a:gd name="T40" fmla="+- 0 16064 15840"/>
                  <a:gd name="T41" fmla="*/ T40 w 381"/>
                  <a:gd name="T42" fmla="+- 0 961 617"/>
                  <a:gd name="T43" fmla="*/ 961 h 464"/>
                  <a:gd name="T44" fmla="+- 0 16010 15840"/>
                  <a:gd name="T45" fmla="*/ T44 w 381"/>
                  <a:gd name="T46" fmla="+- 0 989 617"/>
                  <a:gd name="T47" fmla="*/ 989 h 464"/>
                  <a:gd name="T48" fmla="+- 0 15959 15840"/>
                  <a:gd name="T49" fmla="*/ T48 w 381"/>
                  <a:gd name="T50" fmla="+- 0 992 617"/>
                  <a:gd name="T51" fmla="*/ 992 h 464"/>
                  <a:gd name="T52" fmla="+- 0 16171 15840"/>
                  <a:gd name="T53" fmla="*/ T52 w 381"/>
                  <a:gd name="T54" fmla="+- 0 992 617"/>
                  <a:gd name="T55" fmla="*/ 992 h 464"/>
                  <a:gd name="T56" fmla="+- 0 16178 15840"/>
                  <a:gd name="T57" fmla="*/ T56 w 381"/>
                  <a:gd name="T58" fmla="+- 0 980 617"/>
                  <a:gd name="T59" fmla="*/ 980 h 464"/>
                  <a:gd name="T60" fmla="+- 0 16185 15840"/>
                  <a:gd name="T61" fmla="*/ T60 w 381"/>
                  <a:gd name="T62" fmla="+- 0 956 617"/>
                  <a:gd name="T63" fmla="*/ 956 h 464"/>
                  <a:gd name="T64" fmla="+- 0 16189 15840"/>
                  <a:gd name="T65" fmla="*/ T64 w 381"/>
                  <a:gd name="T66" fmla="+- 0 930 617"/>
                  <a:gd name="T67" fmla="*/ 930 h 464"/>
                  <a:gd name="T68" fmla="+- 0 16191 15840"/>
                  <a:gd name="T69" fmla="*/ T68 w 381"/>
                  <a:gd name="T70" fmla="+- 0 901 617"/>
                  <a:gd name="T71" fmla="*/ 901 h 464"/>
                  <a:gd name="T72" fmla="+- 0 16184 15840"/>
                  <a:gd name="T73" fmla="*/ T72 w 381"/>
                  <a:gd name="T74" fmla="+- 0 879 617"/>
                  <a:gd name="T75" fmla="*/ 879 h 464"/>
                  <a:gd name="T76" fmla="+- 0 16132 15840"/>
                  <a:gd name="T77" fmla="*/ T76 w 381"/>
                  <a:gd name="T78" fmla="+- 0 822 617"/>
                  <a:gd name="T79" fmla="*/ 822 h 464"/>
                  <a:gd name="T80" fmla="+- 0 16081 15840"/>
                  <a:gd name="T81" fmla="*/ T80 w 381"/>
                  <a:gd name="T82" fmla="+- 0 796 617"/>
                  <a:gd name="T83" fmla="*/ 796 h 464"/>
                  <a:gd name="T84" fmla="+- 0 16065 15840"/>
                  <a:gd name="T85" fmla="*/ T84 w 381"/>
                  <a:gd name="T86" fmla="+- 0 788 617"/>
                  <a:gd name="T87" fmla="*/ 788 h 464"/>
                  <a:gd name="T88" fmla="+- 0 16022 15840"/>
                  <a:gd name="T89" fmla="*/ T88 w 381"/>
                  <a:gd name="T90" fmla="+- 0 732 617"/>
                  <a:gd name="T91" fmla="*/ 732 h 464"/>
                  <a:gd name="T92" fmla="+- 0 16034 15840"/>
                  <a:gd name="T93" fmla="*/ T92 w 381"/>
                  <a:gd name="T94" fmla="+- 0 719 617"/>
                  <a:gd name="T95" fmla="*/ 719 h 464"/>
                  <a:gd name="T96" fmla="+- 0 16053 15840"/>
                  <a:gd name="T97" fmla="*/ T96 w 381"/>
                  <a:gd name="T98" fmla="+- 0 711 617"/>
                  <a:gd name="T99" fmla="*/ 711 h 464"/>
                  <a:gd name="T100" fmla="+- 0 16078 15840"/>
                  <a:gd name="T101" fmla="*/ T100 w 381"/>
                  <a:gd name="T102" fmla="+- 0 707 617"/>
                  <a:gd name="T103" fmla="*/ 707 h 464"/>
                  <a:gd name="T104" fmla="+- 0 16106 15840"/>
                  <a:gd name="T105" fmla="*/ T104 w 381"/>
                  <a:gd name="T106" fmla="+- 0 706 617"/>
                  <a:gd name="T107" fmla="*/ 706 h 464"/>
                  <a:gd name="T108" fmla="+- 0 16208 15840"/>
                  <a:gd name="T109" fmla="*/ T108 w 381"/>
                  <a:gd name="T110" fmla="+- 0 706 617"/>
                  <a:gd name="T111" fmla="*/ 706 h 464"/>
                  <a:gd name="T112" fmla="+- 0 16221 15840"/>
                  <a:gd name="T113" fmla="*/ T112 w 381"/>
                  <a:gd name="T114" fmla="+- 0 632 617"/>
                  <a:gd name="T115" fmla="*/ 632 h 464"/>
                  <a:gd name="T116" fmla="+- 0 16151 15840"/>
                  <a:gd name="T117" fmla="*/ T116 w 381"/>
                  <a:gd name="T118" fmla="+- 0 620 617"/>
                  <a:gd name="T119" fmla="*/ 620 h 464"/>
                  <a:gd name="T120" fmla="+- 0 16103 15840"/>
                  <a:gd name="T121" fmla="*/ T120 w 381"/>
                  <a:gd name="T122" fmla="+- 0 618 617"/>
                  <a:gd name="T123" fmla="*/ 618 h 464"/>
                  <a:gd name="T124" fmla="+- 0 16076 15840"/>
                  <a:gd name="T125" fmla="*/ T124 w 381"/>
                  <a:gd name="T126" fmla="+- 0 617 617"/>
                  <a:gd name="T127" fmla="*/ 61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Lst>
                <a:rect l="0" t="0" r="r" b="b"/>
                <a:pathLst>
                  <a:path w="381" h="464">
                    <a:moveTo>
                      <a:pt x="236" y="0"/>
                    </a:moveTo>
                    <a:lnTo>
                      <a:pt x="169" y="11"/>
                    </a:lnTo>
                    <a:lnTo>
                      <a:pt x="111" y="38"/>
                    </a:lnTo>
                    <a:lnTo>
                      <a:pt x="70" y="86"/>
                    </a:lnTo>
                    <a:lnTo>
                      <a:pt x="55" y="160"/>
                    </a:lnTo>
                    <a:lnTo>
                      <a:pt x="59" y="183"/>
                    </a:lnTo>
                    <a:lnTo>
                      <a:pt x="110" y="242"/>
                    </a:lnTo>
                    <a:lnTo>
                      <a:pt x="163" y="266"/>
                    </a:lnTo>
                    <a:lnTo>
                      <a:pt x="181" y="273"/>
                    </a:lnTo>
                    <a:lnTo>
                      <a:pt x="229" y="325"/>
                    </a:lnTo>
                    <a:lnTo>
                      <a:pt x="224" y="344"/>
                    </a:lnTo>
                    <a:lnTo>
                      <a:pt x="170" y="372"/>
                    </a:lnTo>
                    <a:lnTo>
                      <a:pt x="119" y="375"/>
                    </a:lnTo>
                    <a:lnTo>
                      <a:pt x="331" y="375"/>
                    </a:lnTo>
                    <a:lnTo>
                      <a:pt x="338" y="363"/>
                    </a:lnTo>
                    <a:lnTo>
                      <a:pt x="345" y="339"/>
                    </a:lnTo>
                    <a:lnTo>
                      <a:pt x="349" y="313"/>
                    </a:lnTo>
                    <a:lnTo>
                      <a:pt x="351" y="284"/>
                    </a:lnTo>
                    <a:lnTo>
                      <a:pt x="344" y="262"/>
                    </a:lnTo>
                    <a:lnTo>
                      <a:pt x="292" y="205"/>
                    </a:lnTo>
                    <a:lnTo>
                      <a:pt x="241" y="179"/>
                    </a:lnTo>
                    <a:lnTo>
                      <a:pt x="225" y="171"/>
                    </a:lnTo>
                    <a:lnTo>
                      <a:pt x="182" y="115"/>
                    </a:lnTo>
                    <a:lnTo>
                      <a:pt x="194" y="102"/>
                    </a:lnTo>
                    <a:lnTo>
                      <a:pt x="213" y="94"/>
                    </a:lnTo>
                    <a:lnTo>
                      <a:pt x="238" y="90"/>
                    </a:lnTo>
                    <a:lnTo>
                      <a:pt x="266" y="89"/>
                    </a:lnTo>
                    <a:lnTo>
                      <a:pt x="368" y="89"/>
                    </a:lnTo>
                    <a:lnTo>
                      <a:pt x="381" y="15"/>
                    </a:lnTo>
                    <a:lnTo>
                      <a:pt x="311" y="3"/>
                    </a:lnTo>
                    <a:lnTo>
                      <a:pt x="263" y="1"/>
                    </a:lnTo>
                    <a:lnTo>
                      <a:pt x="23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4" name="Freeform 83">
                <a:extLst>
                  <a:ext uri="{FF2B5EF4-FFF2-40B4-BE49-F238E27FC236}">
                    <a16:creationId xmlns:a16="http://schemas.microsoft.com/office/drawing/2014/main" id="{00000000-0008-0000-1800-000054000000}"/>
                  </a:ext>
                </a:extLst>
              </xdr:cNvPr>
              <xdr:cNvSpPr>
                <a:spLocks/>
              </xdr:cNvSpPr>
            </xdr:nvSpPr>
            <xdr:spPr bwMode="auto">
              <a:xfrm>
                <a:off x="15840" y="617"/>
                <a:ext cx="381" cy="464"/>
              </a:xfrm>
              <a:custGeom>
                <a:avLst/>
                <a:gdLst>
                  <a:gd name="T0" fmla="+- 0 16208 15840"/>
                  <a:gd name="T1" fmla="*/ T0 w 381"/>
                  <a:gd name="T2" fmla="+- 0 706 617"/>
                  <a:gd name="T3" fmla="*/ 706 h 464"/>
                  <a:gd name="T4" fmla="+- 0 16106 15840"/>
                  <a:gd name="T5" fmla="*/ T4 w 381"/>
                  <a:gd name="T6" fmla="+- 0 706 617"/>
                  <a:gd name="T7" fmla="*/ 706 h 464"/>
                  <a:gd name="T8" fmla="+- 0 16131 15840"/>
                  <a:gd name="T9" fmla="*/ T8 w 381"/>
                  <a:gd name="T10" fmla="+- 0 707 617"/>
                  <a:gd name="T11" fmla="*/ 707 h 464"/>
                  <a:gd name="T12" fmla="+- 0 16153 15840"/>
                  <a:gd name="T13" fmla="*/ T12 w 381"/>
                  <a:gd name="T14" fmla="+- 0 710 617"/>
                  <a:gd name="T15" fmla="*/ 710 h 464"/>
                  <a:gd name="T16" fmla="+- 0 16172 15840"/>
                  <a:gd name="T17" fmla="*/ T16 w 381"/>
                  <a:gd name="T18" fmla="+- 0 714 617"/>
                  <a:gd name="T19" fmla="*/ 714 h 464"/>
                  <a:gd name="T20" fmla="+- 0 16189 15840"/>
                  <a:gd name="T21" fmla="*/ T20 w 381"/>
                  <a:gd name="T22" fmla="+- 0 720 617"/>
                  <a:gd name="T23" fmla="*/ 720 h 464"/>
                  <a:gd name="T24" fmla="+- 0 16204 15840"/>
                  <a:gd name="T25" fmla="*/ T24 w 381"/>
                  <a:gd name="T26" fmla="+- 0 726 617"/>
                  <a:gd name="T27" fmla="*/ 726 h 464"/>
                  <a:gd name="T28" fmla="+- 0 16208 15840"/>
                  <a:gd name="T29" fmla="*/ T28 w 381"/>
                  <a:gd name="T30" fmla="+- 0 706 617"/>
                  <a:gd name="T31" fmla="*/ 706 h 464"/>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381" h="464">
                    <a:moveTo>
                      <a:pt x="368" y="89"/>
                    </a:moveTo>
                    <a:lnTo>
                      <a:pt x="266" y="89"/>
                    </a:lnTo>
                    <a:lnTo>
                      <a:pt x="291" y="90"/>
                    </a:lnTo>
                    <a:lnTo>
                      <a:pt x="313" y="93"/>
                    </a:lnTo>
                    <a:lnTo>
                      <a:pt x="332" y="97"/>
                    </a:lnTo>
                    <a:lnTo>
                      <a:pt x="349" y="103"/>
                    </a:lnTo>
                    <a:lnTo>
                      <a:pt x="364" y="109"/>
                    </a:lnTo>
                    <a:lnTo>
                      <a:pt x="368" y="89"/>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nvGrpSpPr>
          <xdr:cNvPr id="49" name="Group 48">
            <a:extLst>
              <a:ext uri="{FF2B5EF4-FFF2-40B4-BE49-F238E27FC236}">
                <a16:creationId xmlns:a16="http://schemas.microsoft.com/office/drawing/2014/main" id="{00000000-0008-0000-1800-000031000000}"/>
              </a:ext>
            </a:extLst>
          </xdr:cNvPr>
          <xdr:cNvGrpSpPr>
            <a:grpSpLocks/>
          </xdr:cNvGrpSpPr>
        </xdr:nvGrpSpPr>
        <xdr:grpSpPr bwMode="auto">
          <a:xfrm>
            <a:off x="6350" y="425450"/>
            <a:ext cx="1137285" cy="287020"/>
            <a:chOff x="14517" y="-149"/>
            <a:chExt cx="1791" cy="452"/>
          </a:xfrm>
        </xdr:grpSpPr>
        <xdr:grpSp>
          <xdr:nvGrpSpPr>
            <xdr:cNvPr id="50" name="Group 49">
              <a:extLst>
                <a:ext uri="{FF2B5EF4-FFF2-40B4-BE49-F238E27FC236}">
                  <a16:creationId xmlns:a16="http://schemas.microsoft.com/office/drawing/2014/main" id="{00000000-0008-0000-1800-000032000000}"/>
                </a:ext>
              </a:extLst>
            </xdr:cNvPr>
            <xdr:cNvGrpSpPr>
              <a:grpSpLocks/>
            </xdr:cNvGrpSpPr>
          </xdr:nvGrpSpPr>
          <xdr:grpSpPr bwMode="auto">
            <a:xfrm>
              <a:off x="14517" y="-125"/>
              <a:ext cx="260" cy="325"/>
              <a:chOff x="14517" y="-125"/>
              <a:chExt cx="260" cy="325"/>
            </a:xfrm>
          </xdr:grpSpPr>
          <xdr:sp macro="" textlink="">
            <xdr:nvSpPr>
              <xdr:cNvPr id="77" name="Freeform 76">
                <a:extLst>
                  <a:ext uri="{FF2B5EF4-FFF2-40B4-BE49-F238E27FC236}">
                    <a16:creationId xmlns:a16="http://schemas.microsoft.com/office/drawing/2014/main" id="{00000000-0008-0000-1800-00004D000000}"/>
                  </a:ext>
                </a:extLst>
              </xdr:cNvPr>
              <xdr:cNvSpPr>
                <a:spLocks/>
              </xdr:cNvSpPr>
            </xdr:nvSpPr>
            <xdr:spPr bwMode="auto">
              <a:xfrm>
                <a:off x="14517" y="-125"/>
                <a:ext cx="260" cy="325"/>
              </a:xfrm>
              <a:custGeom>
                <a:avLst/>
                <a:gdLst>
                  <a:gd name="T0" fmla="+- 0 14776 14517"/>
                  <a:gd name="T1" fmla="*/ T0 w 260"/>
                  <a:gd name="T2" fmla="+- 0 -125 -125"/>
                  <a:gd name="T3" fmla="*/ -125 h 325"/>
                  <a:gd name="T4" fmla="+- 0 14585 14517"/>
                  <a:gd name="T5" fmla="*/ T4 w 260"/>
                  <a:gd name="T6" fmla="+- 0 -125 -125"/>
                  <a:gd name="T7" fmla="*/ -125 h 325"/>
                  <a:gd name="T8" fmla="+- 0 14517 14517"/>
                  <a:gd name="T9" fmla="*/ T8 w 260"/>
                  <a:gd name="T10" fmla="+- 0 200 -125"/>
                  <a:gd name="T11" fmla="*/ 200 h 325"/>
                  <a:gd name="T12" fmla="+- 0 14710 14517"/>
                  <a:gd name="T13" fmla="*/ T12 w 260"/>
                  <a:gd name="T14" fmla="+- 0 200 -125"/>
                  <a:gd name="T15" fmla="*/ 200 h 325"/>
                  <a:gd name="T16" fmla="+- 0 14721 14517"/>
                  <a:gd name="T17" fmla="*/ T16 w 260"/>
                  <a:gd name="T18" fmla="+- 0 149 -125"/>
                  <a:gd name="T19" fmla="*/ 149 h 325"/>
                  <a:gd name="T20" fmla="+- 0 14593 14517"/>
                  <a:gd name="T21" fmla="*/ T20 w 260"/>
                  <a:gd name="T22" fmla="+- 0 149 -125"/>
                  <a:gd name="T23" fmla="*/ 149 h 325"/>
                  <a:gd name="T24" fmla="+- 0 14612 14517"/>
                  <a:gd name="T25" fmla="*/ T24 w 260"/>
                  <a:gd name="T26" fmla="+- 0 57 -125"/>
                  <a:gd name="T27" fmla="*/ 57 h 325"/>
                  <a:gd name="T28" fmla="+- 0 14726 14517"/>
                  <a:gd name="T29" fmla="*/ T28 w 260"/>
                  <a:gd name="T30" fmla="+- 0 57 -125"/>
                  <a:gd name="T31" fmla="*/ 57 h 325"/>
                  <a:gd name="T32" fmla="+- 0 14736 14517"/>
                  <a:gd name="T33" fmla="*/ T32 w 260"/>
                  <a:gd name="T34" fmla="+- 0 6 -125"/>
                  <a:gd name="T35" fmla="*/ 6 h 325"/>
                  <a:gd name="T36" fmla="+- 0 14623 14517"/>
                  <a:gd name="T37" fmla="*/ T36 w 260"/>
                  <a:gd name="T38" fmla="+- 0 6 -125"/>
                  <a:gd name="T39" fmla="*/ 6 h 325"/>
                  <a:gd name="T40" fmla="+- 0 14639 14517"/>
                  <a:gd name="T41" fmla="*/ T40 w 260"/>
                  <a:gd name="T42" fmla="+- 0 -74 -125"/>
                  <a:gd name="T43" fmla="*/ -74 h 325"/>
                  <a:gd name="T44" fmla="+- 0 14766 14517"/>
                  <a:gd name="T45" fmla="*/ T44 w 260"/>
                  <a:gd name="T46" fmla="+- 0 -74 -125"/>
                  <a:gd name="T47" fmla="*/ -74 h 325"/>
                  <a:gd name="T48" fmla="+- 0 14776 14517"/>
                  <a:gd name="T49" fmla="*/ T48 w 260"/>
                  <a:gd name="T50" fmla="+- 0 -125 -125"/>
                  <a:gd name="T51" fmla="*/ -125 h 3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60" h="325">
                    <a:moveTo>
                      <a:pt x="259" y="0"/>
                    </a:moveTo>
                    <a:lnTo>
                      <a:pt x="68" y="0"/>
                    </a:lnTo>
                    <a:lnTo>
                      <a:pt x="0" y="325"/>
                    </a:lnTo>
                    <a:lnTo>
                      <a:pt x="193" y="325"/>
                    </a:lnTo>
                    <a:lnTo>
                      <a:pt x="204" y="274"/>
                    </a:lnTo>
                    <a:lnTo>
                      <a:pt x="76" y="274"/>
                    </a:lnTo>
                    <a:lnTo>
                      <a:pt x="95" y="182"/>
                    </a:lnTo>
                    <a:lnTo>
                      <a:pt x="209" y="182"/>
                    </a:lnTo>
                    <a:lnTo>
                      <a:pt x="219" y="131"/>
                    </a:lnTo>
                    <a:lnTo>
                      <a:pt x="106" y="131"/>
                    </a:lnTo>
                    <a:lnTo>
                      <a:pt x="122" y="51"/>
                    </a:lnTo>
                    <a:lnTo>
                      <a:pt x="249" y="51"/>
                    </a:lnTo>
                    <a:lnTo>
                      <a:pt x="259"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1" name="Group 50">
              <a:extLst>
                <a:ext uri="{FF2B5EF4-FFF2-40B4-BE49-F238E27FC236}">
                  <a16:creationId xmlns:a16="http://schemas.microsoft.com/office/drawing/2014/main" id="{00000000-0008-0000-1800-000033000000}"/>
                </a:ext>
              </a:extLst>
            </xdr:cNvPr>
            <xdr:cNvGrpSpPr>
              <a:grpSpLocks/>
            </xdr:cNvGrpSpPr>
          </xdr:nvGrpSpPr>
          <xdr:grpSpPr bwMode="auto">
            <a:xfrm>
              <a:off x="14771" y="-44"/>
              <a:ext cx="254" cy="244"/>
              <a:chOff x="14771" y="-44"/>
              <a:chExt cx="254" cy="244"/>
            </a:xfrm>
          </xdr:grpSpPr>
          <xdr:sp macro="" textlink="">
            <xdr:nvSpPr>
              <xdr:cNvPr id="74" name="Freeform 73">
                <a:extLst>
                  <a:ext uri="{FF2B5EF4-FFF2-40B4-BE49-F238E27FC236}">
                    <a16:creationId xmlns:a16="http://schemas.microsoft.com/office/drawing/2014/main" id="{00000000-0008-0000-1800-00004A000000}"/>
                  </a:ext>
                </a:extLst>
              </xdr:cNvPr>
              <xdr:cNvSpPr>
                <a:spLocks/>
              </xdr:cNvSpPr>
            </xdr:nvSpPr>
            <xdr:spPr bwMode="auto">
              <a:xfrm>
                <a:off x="14771" y="-44"/>
                <a:ext cx="254" cy="244"/>
              </a:xfrm>
              <a:custGeom>
                <a:avLst/>
                <a:gdLst>
                  <a:gd name="T0" fmla="+- 0 14882 14771"/>
                  <a:gd name="T1" fmla="*/ T0 w 254"/>
                  <a:gd name="T2" fmla="+- 0 -40 -44"/>
                  <a:gd name="T3" fmla="*/ -40 h 244"/>
                  <a:gd name="T4" fmla="+- 0 14821 14771"/>
                  <a:gd name="T5" fmla="*/ T4 w 254"/>
                  <a:gd name="T6" fmla="+- 0 -40 -44"/>
                  <a:gd name="T7" fmla="*/ -40 h 244"/>
                  <a:gd name="T8" fmla="+- 0 14820 14771"/>
                  <a:gd name="T9" fmla="*/ T8 w 254"/>
                  <a:gd name="T10" fmla="+- 0 -32 -44"/>
                  <a:gd name="T11" fmla="*/ -32 h 244"/>
                  <a:gd name="T12" fmla="+- 0 14818 14771"/>
                  <a:gd name="T13" fmla="*/ T12 w 254"/>
                  <a:gd name="T14" fmla="+- 0 -20 -44"/>
                  <a:gd name="T15" fmla="*/ -20 h 244"/>
                  <a:gd name="T16" fmla="+- 0 14815 14771"/>
                  <a:gd name="T17" fmla="*/ T16 w 254"/>
                  <a:gd name="T18" fmla="+- 0 -5 -44"/>
                  <a:gd name="T19" fmla="*/ -5 h 244"/>
                  <a:gd name="T20" fmla="+- 0 14771 14771"/>
                  <a:gd name="T21" fmla="*/ T20 w 254"/>
                  <a:gd name="T22" fmla="+- 0 200 -44"/>
                  <a:gd name="T23" fmla="*/ 200 h 244"/>
                  <a:gd name="T24" fmla="+- 0 14833 14771"/>
                  <a:gd name="T25" fmla="*/ T24 w 254"/>
                  <a:gd name="T26" fmla="+- 0 200 -44"/>
                  <a:gd name="T27" fmla="*/ 200 h 244"/>
                  <a:gd name="T28" fmla="+- 0 14862 14771"/>
                  <a:gd name="T29" fmla="*/ T28 w 254"/>
                  <a:gd name="T30" fmla="+- 0 65 -44"/>
                  <a:gd name="T31" fmla="*/ 65 h 244"/>
                  <a:gd name="T32" fmla="+- 0 14914 14771"/>
                  <a:gd name="T33" fmla="*/ T32 w 254"/>
                  <a:gd name="T34" fmla="+- 0 8 -44"/>
                  <a:gd name="T35" fmla="*/ 8 h 244"/>
                  <a:gd name="T36" fmla="+- 0 14941 14771"/>
                  <a:gd name="T37" fmla="*/ T36 w 254"/>
                  <a:gd name="T38" fmla="+- 0 6 -44"/>
                  <a:gd name="T39" fmla="*/ 6 h 244"/>
                  <a:gd name="T40" fmla="+- 0 15021 14771"/>
                  <a:gd name="T41" fmla="*/ T40 w 254"/>
                  <a:gd name="T42" fmla="+- 0 6 -44"/>
                  <a:gd name="T43" fmla="*/ 6 h 244"/>
                  <a:gd name="T44" fmla="+- 0 15014 14771"/>
                  <a:gd name="T45" fmla="*/ T44 w 254"/>
                  <a:gd name="T46" fmla="+- 0 -10 -44"/>
                  <a:gd name="T47" fmla="*/ -10 h 244"/>
                  <a:gd name="T48" fmla="+- 0 15008 14771"/>
                  <a:gd name="T49" fmla="*/ T48 w 254"/>
                  <a:gd name="T50" fmla="+- 0 -17 -44"/>
                  <a:gd name="T51" fmla="*/ -17 h 244"/>
                  <a:gd name="T52" fmla="+- 0 14878 14771"/>
                  <a:gd name="T53" fmla="*/ T52 w 254"/>
                  <a:gd name="T54" fmla="+- 0 -17 -44"/>
                  <a:gd name="T55" fmla="*/ -17 h 244"/>
                  <a:gd name="T56" fmla="+- 0 14882 14771"/>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3" y="52"/>
                    </a:lnTo>
                    <a:lnTo>
                      <a:pt x="170" y="50"/>
                    </a:lnTo>
                    <a:lnTo>
                      <a:pt x="250" y="50"/>
                    </a:lnTo>
                    <a:lnTo>
                      <a:pt x="243" y="34"/>
                    </a:lnTo>
                    <a:lnTo>
                      <a:pt x="237"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5" name="Freeform 74">
                <a:extLst>
                  <a:ext uri="{FF2B5EF4-FFF2-40B4-BE49-F238E27FC236}">
                    <a16:creationId xmlns:a16="http://schemas.microsoft.com/office/drawing/2014/main" id="{00000000-0008-0000-1800-00004B000000}"/>
                  </a:ext>
                </a:extLst>
              </xdr:cNvPr>
              <xdr:cNvSpPr>
                <a:spLocks/>
              </xdr:cNvSpPr>
            </xdr:nvSpPr>
            <xdr:spPr bwMode="auto">
              <a:xfrm>
                <a:off x="14771" y="-44"/>
                <a:ext cx="254" cy="244"/>
              </a:xfrm>
              <a:custGeom>
                <a:avLst/>
                <a:gdLst>
                  <a:gd name="T0" fmla="+- 0 15021 14771"/>
                  <a:gd name="T1" fmla="*/ T0 w 254"/>
                  <a:gd name="T2" fmla="+- 0 6 -44"/>
                  <a:gd name="T3" fmla="*/ 6 h 244"/>
                  <a:gd name="T4" fmla="+- 0 14941 14771"/>
                  <a:gd name="T5" fmla="*/ T4 w 254"/>
                  <a:gd name="T6" fmla="+- 0 6 -44"/>
                  <a:gd name="T7" fmla="*/ 6 h 244"/>
                  <a:gd name="T8" fmla="+- 0 14954 14771"/>
                  <a:gd name="T9" fmla="*/ T8 w 254"/>
                  <a:gd name="T10" fmla="+- 0 21 -44"/>
                  <a:gd name="T11" fmla="*/ 21 h 244"/>
                  <a:gd name="T12" fmla="+- 0 14959 14771"/>
                  <a:gd name="T13" fmla="*/ T12 w 254"/>
                  <a:gd name="T14" fmla="+- 0 47 -44"/>
                  <a:gd name="T15" fmla="*/ 47 h 244"/>
                  <a:gd name="T16" fmla="+- 0 14956 14771"/>
                  <a:gd name="T17" fmla="*/ T16 w 254"/>
                  <a:gd name="T18" fmla="+- 0 67 -44"/>
                  <a:gd name="T19" fmla="*/ 67 h 244"/>
                  <a:gd name="T20" fmla="+- 0 14953 14771"/>
                  <a:gd name="T21" fmla="*/ T20 w 254"/>
                  <a:gd name="T22" fmla="+- 0 87 -44"/>
                  <a:gd name="T23" fmla="*/ 87 h 244"/>
                  <a:gd name="T24" fmla="+- 0 14929 14771"/>
                  <a:gd name="T25" fmla="*/ T24 w 254"/>
                  <a:gd name="T26" fmla="+- 0 200 -44"/>
                  <a:gd name="T27" fmla="*/ 200 h 244"/>
                  <a:gd name="T28" fmla="+- 0 14992 14771"/>
                  <a:gd name="T29" fmla="*/ T28 w 254"/>
                  <a:gd name="T30" fmla="+- 0 200 -44"/>
                  <a:gd name="T31" fmla="*/ 200 h 244"/>
                  <a:gd name="T32" fmla="+- 0 15019 14771"/>
                  <a:gd name="T33" fmla="*/ T32 w 254"/>
                  <a:gd name="T34" fmla="+- 0 71 -44"/>
                  <a:gd name="T35" fmla="*/ 71 h 244"/>
                  <a:gd name="T36" fmla="+- 0 15023 14771"/>
                  <a:gd name="T37" fmla="*/ T36 w 254"/>
                  <a:gd name="T38" fmla="+- 0 51 -44"/>
                  <a:gd name="T39" fmla="*/ 51 h 244"/>
                  <a:gd name="T40" fmla="+- 0 15025 14771"/>
                  <a:gd name="T41" fmla="*/ T40 w 254"/>
                  <a:gd name="T42" fmla="+- 0 30 -44"/>
                  <a:gd name="T43" fmla="*/ 30 h 244"/>
                  <a:gd name="T44" fmla="+- 0 15022 14771"/>
                  <a:gd name="T45" fmla="*/ T44 w 254"/>
                  <a:gd name="T46" fmla="+- 0 8 -44"/>
                  <a:gd name="T47" fmla="*/ 8 h 244"/>
                  <a:gd name="T48" fmla="+- 0 15021 14771"/>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0" y="50"/>
                    </a:lnTo>
                    <a:lnTo>
                      <a:pt x="183" y="65"/>
                    </a:lnTo>
                    <a:lnTo>
                      <a:pt x="188" y="91"/>
                    </a:lnTo>
                    <a:lnTo>
                      <a:pt x="185" y="111"/>
                    </a:lnTo>
                    <a:lnTo>
                      <a:pt x="182" y="131"/>
                    </a:lnTo>
                    <a:lnTo>
                      <a:pt x="158" y="244"/>
                    </a:lnTo>
                    <a:lnTo>
                      <a:pt x="221" y="244"/>
                    </a:lnTo>
                    <a:lnTo>
                      <a:pt x="248"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6" name="Freeform 75">
                <a:extLst>
                  <a:ext uri="{FF2B5EF4-FFF2-40B4-BE49-F238E27FC236}">
                    <a16:creationId xmlns:a16="http://schemas.microsoft.com/office/drawing/2014/main" id="{00000000-0008-0000-1800-00004C000000}"/>
                  </a:ext>
                </a:extLst>
              </xdr:cNvPr>
              <xdr:cNvSpPr>
                <a:spLocks/>
              </xdr:cNvSpPr>
            </xdr:nvSpPr>
            <xdr:spPr bwMode="auto">
              <a:xfrm>
                <a:off x="14771" y="-44"/>
                <a:ext cx="254" cy="244"/>
              </a:xfrm>
              <a:custGeom>
                <a:avLst/>
                <a:gdLst>
                  <a:gd name="T0" fmla="+- 0 14932 14771"/>
                  <a:gd name="T1" fmla="*/ T0 w 254"/>
                  <a:gd name="T2" fmla="+- 0 -44 -44"/>
                  <a:gd name="T3" fmla="*/ -44 h 244"/>
                  <a:gd name="T4" fmla="+- 0 14912 14771"/>
                  <a:gd name="T5" fmla="*/ T4 w 254"/>
                  <a:gd name="T6" fmla="+- 0 -38 -44"/>
                  <a:gd name="T7" fmla="*/ -38 h 244"/>
                  <a:gd name="T8" fmla="+- 0 14894 14771"/>
                  <a:gd name="T9" fmla="*/ T8 w 254"/>
                  <a:gd name="T10" fmla="+- 0 -29 -44"/>
                  <a:gd name="T11" fmla="*/ -29 h 244"/>
                  <a:gd name="T12" fmla="+- 0 14879 14771"/>
                  <a:gd name="T13" fmla="*/ T12 w 254"/>
                  <a:gd name="T14" fmla="+- 0 -17 -44"/>
                  <a:gd name="T15" fmla="*/ -17 h 244"/>
                  <a:gd name="T16" fmla="+- 0 15008 14771"/>
                  <a:gd name="T17" fmla="*/ T16 w 254"/>
                  <a:gd name="T18" fmla="+- 0 -17 -44"/>
                  <a:gd name="T19" fmla="*/ -17 h 244"/>
                  <a:gd name="T20" fmla="+- 0 15001 14771"/>
                  <a:gd name="T21" fmla="*/ T20 w 254"/>
                  <a:gd name="T22" fmla="+- 0 -25 -44"/>
                  <a:gd name="T23" fmla="*/ -25 h 244"/>
                  <a:gd name="T24" fmla="+- 0 14983 14771"/>
                  <a:gd name="T25" fmla="*/ T24 w 254"/>
                  <a:gd name="T26" fmla="+- 0 -36 -44"/>
                  <a:gd name="T27" fmla="*/ -36 h 244"/>
                  <a:gd name="T28" fmla="+- 0 14960 14771"/>
                  <a:gd name="T29" fmla="*/ T28 w 254"/>
                  <a:gd name="T30" fmla="+- 0 -42 -44"/>
                  <a:gd name="T31" fmla="*/ -42 h 244"/>
                  <a:gd name="T32" fmla="+- 0 14932 14771"/>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7"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2" name="Group 51">
              <a:extLst>
                <a:ext uri="{FF2B5EF4-FFF2-40B4-BE49-F238E27FC236}">
                  <a16:creationId xmlns:a16="http://schemas.microsoft.com/office/drawing/2014/main" id="{00000000-0008-0000-1800-000034000000}"/>
                </a:ext>
              </a:extLst>
            </xdr:cNvPr>
            <xdr:cNvGrpSpPr>
              <a:grpSpLocks/>
            </xdr:cNvGrpSpPr>
          </xdr:nvGrpSpPr>
          <xdr:grpSpPr bwMode="auto">
            <a:xfrm>
              <a:off x="15054" y="-45"/>
              <a:ext cx="272" cy="348"/>
              <a:chOff x="15054" y="-45"/>
              <a:chExt cx="272" cy="348"/>
            </a:xfrm>
          </xdr:grpSpPr>
          <xdr:sp macro="" textlink="">
            <xdr:nvSpPr>
              <xdr:cNvPr id="69" name="Freeform 68">
                <a:extLst>
                  <a:ext uri="{FF2B5EF4-FFF2-40B4-BE49-F238E27FC236}">
                    <a16:creationId xmlns:a16="http://schemas.microsoft.com/office/drawing/2014/main" id="{00000000-0008-0000-1800-000045000000}"/>
                  </a:ext>
                </a:extLst>
              </xdr:cNvPr>
              <xdr:cNvSpPr>
                <a:spLocks/>
              </xdr:cNvSpPr>
            </xdr:nvSpPr>
            <xdr:spPr bwMode="auto">
              <a:xfrm>
                <a:off x="15054" y="-45"/>
                <a:ext cx="272" cy="348"/>
              </a:xfrm>
              <a:custGeom>
                <a:avLst/>
                <a:gdLst>
                  <a:gd name="T0" fmla="+- 0 15063 15054"/>
                  <a:gd name="T1" fmla="*/ T0 w 272"/>
                  <a:gd name="T2" fmla="+- 0 236 -45"/>
                  <a:gd name="T3" fmla="*/ 236 h 348"/>
                  <a:gd name="T4" fmla="+- 0 15090 15054"/>
                  <a:gd name="T5" fmla="*/ T4 w 272"/>
                  <a:gd name="T6" fmla="+- 0 298 -45"/>
                  <a:gd name="T7" fmla="*/ 298 h 348"/>
                  <a:gd name="T8" fmla="+- 0 15154 15054"/>
                  <a:gd name="T9" fmla="*/ T8 w 272"/>
                  <a:gd name="T10" fmla="+- 0 303 -45"/>
                  <a:gd name="T11" fmla="*/ 303 h 348"/>
                  <a:gd name="T12" fmla="+- 0 15179 15054"/>
                  <a:gd name="T13" fmla="*/ T12 w 272"/>
                  <a:gd name="T14" fmla="+- 0 300 -45"/>
                  <a:gd name="T15" fmla="*/ 300 h 348"/>
                  <a:gd name="T16" fmla="+- 0 15235 15054"/>
                  <a:gd name="T17" fmla="*/ T16 w 272"/>
                  <a:gd name="T18" fmla="+- 0 272 -45"/>
                  <a:gd name="T19" fmla="*/ 272 h 348"/>
                  <a:gd name="T20" fmla="+- 0 15250 15054"/>
                  <a:gd name="T21" fmla="*/ T20 w 272"/>
                  <a:gd name="T22" fmla="+- 0 253 -45"/>
                  <a:gd name="T23" fmla="*/ 253 h 348"/>
                  <a:gd name="T24" fmla="+- 0 15121 15054"/>
                  <a:gd name="T25" fmla="*/ T24 w 272"/>
                  <a:gd name="T26" fmla="+- 0 253 -45"/>
                  <a:gd name="T27" fmla="*/ 253 h 348"/>
                  <a:gd name="T28" fmla="+- 0 15101 15054"/>
                  <a:gd name="T29" fmla="*/ T28 w 272"/>
                  <a:gd name="T30" fmla="+- 0 249 -45"/>
                  <a:gd name="T31" fmla="*/ 249 h 348"/>
                  <a:gd name="T32" fmla="+- 0 15082 15054"/>
                  <a:gd name="T33" fmla="*/ T32 w 272"/>
                  <a:gd name="T34" fmla="+- 0 243 -45"/>
                  <a:gd name="T35" fmla="*/ 243 h 348"/>
                  <a:gd name="T36" fmla="+- 0 15063 15054"/>
                  <a:gd name="T37" fmla="*/ T36 w 272"/>
                  <a:gd name="T38" fmla="+- 0 236 -45"/>
                  <a:gd name="T39" fmla="*/ 236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72" h="348">
                    <a:moveTo>
                      <a:pt x="9" y="281"/>
                    </a:moveTo>
                    <a:lnTo>
                      <a:pt x="36" y="343"/>
                    </a:lnTo>
                    <a:lnTo>
                      <a:pt x="100" y="348"/>
                    </a:lnTo>
                    <a:lnTo>
                      <a:pt x="125" y="345"/>
                    </a:lnTo>
                    <a:lnTo>
                      <a:pt x="181" y="317"/>
                    </a:lnTo>
                    <a:lnTo>
                      <a:pt x="196" y="298"/>
                    </a:lnTo>
                    <a:lnTo>
                      <a:pt x="67" y="298"/>
                    </a:lnTo>
                    <a:lnTo>
                      <a:pt x="47" y="294"/>
                    </a:lnTo>
                    <a:lnTo>
                      <a:pt x="28" y="288"/>
                    </a:lnTo>
                    <a:lnTo>
                      <a:pt x="9" y="281"/>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0" name="Freeform 69">
                <a:extLst>
                  <a:ext uri="{FF2B5EF4-FFF2-40B4-BE49-F238E27FC236}">
                    <a16:creationId xmlns:a16="http://schemas.microsoft.com/office/drawing/2014/main" id="{00000000-0008-0000-1800-000046000000}"/>
                  </a:ext>
                </a:extLst>
              </xdr:cNvPr>
              <xdr:cNvSpPr>
                <a:spLocks/>
              </xdr:cNvSpPr>
            </xdr:nvSpPr>
            <xdr:spPr bwMode="auto">
              <a:xfrm>
                <a:off x="15054" y="-45"/>
                <a:ext cx="272" cy="348"/>
              </a:xfrm>
              <a:custGeom>
                <a:avLst/>
                <a:gdLst>
                  <a:gd name="T0" fmla="+- 0 15284 15054"/>
                  <a:gd name="T1" fmla="*/ T0 w 272"/>
                  <a:gd name="T2" fmla="+- 0 154 -45"/>
                  <a:gd name="T3" fmla="*/ 154 h 348"/>
                  <a:gd name="T4" fmla="+- 0 15228 15054"/>
                  <a:gd name="T5" fmla="*/ T4 w 272"/>
                  <a:gd name="T6" fmla="+- 0 154 -45"/>
                  <a:gd name="T7" fmla="*/ 154 h 348"/>
                  <a:gd name="T8" fmla="+- 0 15227 15054"/>
                  <a:gd name="T9" fmla="*/ T8 w 272"/>
                  <a:gd name="T10" fmla="+- 0 164 -45"/>
                  <a:gd name="T11" fmla="*/ 164 h 348"/>
                  <a:gd name="T12" fmla="+- 0 15221 15054"/>
                  <a:gd name="T13" fmla="*/ T12 w 272"/>
                  <a:gd name="T14" fmla="+- 0 185 -45"/>
                  <a:gd name="T15" fmla="*/ 185 h 348"/>
                  <a:gd name="T16" fmla="+- 0 15174 15054"/>
                  <a:gd name="T17" fmla="*/ T16 w 272"/>
                  <a:gd name="T18" fmla="+- 0 245 -45"/>
                  <a:gd name="T19" fmla="*/ 245 h 348"/>
                  <a:gd name="T20" fmla="+- 0 15121 15054"/>
                  <a:gd name="T21" fmla="*/ T20 w 272"/>
                  <a:gd name="T22" fmla="+- 0 253 -45"/>
                  <a:gd name="T23" fmla="*/ 253 h 348"/>
                  <a:gd name="T24" fmla="+- 0 15250 15054"/>
                  <a:gd name="T25" fmla="*/ T24 w 272"/>
                  <a:gd name="T26" fmla="+- 0 253 -45"/>
                  <a:gd name="T27" fmla="*/ 253 h 348"/>
                  <a:gd name="T28" fmla="+- 0 15259 15054"/>
                  <a:gd name="T29" fmla="*/ T28 w 272"/>
                  <a:gd name="T30" fmla="+- 0 239 -45"/>
                  <a:gd name="T31" fmla="*/ 239 h 348"/>
                  <a:gd name="T32" fmla="+- 0 15267 15054"/>
                  <a:gd name="T33" fmla="*/ T32 w 272"/>
                  <a:gd name="T34" fmla="+- 0 220 -45"/>
                  <a:gd name="T35" fmla="*/ 220 h 348"/>
                  <a:gd name="T36" fmla="+- 0 15274 15054"/>
                  <a:gd name="T37" fmla="*/ T36 w 272"/>
                  <a:gd name="T38" fmla="+- 0 198 -45"/>
                  <a:gd name="T39" fmla="*/ 198 h 348"/>
                  <a:gd name="T40" fmla="+- 0 15280 15054"/>
                  <a:gd name="T41" fmla="*/ T40 w 272"/>
                  <a:gd name="T42" fmla="+- 0 174 -45"/>
                  <a:gd name="T43" fmla="*/ 174 h 348"/>
                  <a:gd name="T44" fmla="+- 0 15284 15054"/>
                  <a:gd name="T45" fmla="*/ T44 w 272"/>
                  <a:gd name="T46" fmla="+- 0 154 -45"/>
                  <a:gd name="T47" fmla="*/ 154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72" h="348">
                    <a:moveTo>
                      <a:pt x="230" y="199"/>
                    </a:moveTo>
                    <a:lnTo>
                      <a:pt x="174" y="199"/>
                    </a:lnTo>
                    <a:lnTo>
                      <a:pt x="173" y="209"/>
                    </a:lnTo>
                    <a:lnTo>
                      <a:pt x="167" y="230"/>
                    </a:lnTo>
                    <a:lnTo>
                      <a:pt x="120" y="290"/>
                    </a:lnTo>
                    <a:lnTo>
                      <a:pt x="67" y="298"/>
                    </a:lnTo>
                    <a:lnTo>
                      <a:pt x="196" y="298"/>
                    </a:lnTo>
                    <a:lnTo>
                      <a:pt x="205" y="284"/>
                    </a:lnTo>
                    <a:lnTo>
                      <a:pt x="213" y="265"/>
                    </a:lnTo>
                    <a:lnTo>
                      <a:pt x="220" y="243"/>
                    </a:lnTo>
                    <a:lnTo>
                      <a:pt x="226" y="219"/>
                    </a:lnTo>
                    <a:lnTo>
                      <a:pt x="230" y="199"/>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1" name="Freeform 70">
                <a:extLst>
                  <a:ext uri="{FF2B5EF4-FFF2-40B4-BE49-F238E27FC236}">
                    <a16:creationId xmlns:a16="http://schemas.microsoft.com/office/drawing/2014/main" id="{00000000-0008-0000-1800-000047000000}"/>
                  </a:ext>
                </a:extLst>
              </xdr:cNvPr>
              <xdr:cNvSpPr>
                <a:spLocks/>
              </xdr:cNvSpPr>
            </xdr:nvSpPr>
            <xdr:spPr bwMode="auto">
              <a:xfrm>
                <a:off x="15054" y="-45"/>
                <a:ext cx="272" cy="348"/>
              </a:xfrm>
              <a:custGeom>
                <a:avLst/>
                <a:gdLst>
                  <a:gd name="T0" fmla="+- 0 15175 15054"/>
                  <a:gd name="T1" fmla="*/ T0 w 272"/>
                  <a:gd name="T2" fmla="+- 0 -45 -45"/>
                  <a:gd name="T3" fmla="*/ -45 h 348"/>
                  <a:gd name="T4" fmla="+- 0 15115 15054"/>
                  <a:gd name="T5" fmla="*/ T4 w 272"/>
                  <a:gd name="T6" fmla="+- 0 -20 -45"/>
                  <a:gd name="T7" fmla="*/ -20 h 348"/>
                  <a:gd name="T8" fmla="+- 0 15077 15054"/>
                  <a:gd name="T9" fmla="*/ T8 w 272"/>
                  <a:gd name="T10" fmla="+- 0 33 -45"/>
                  <a:gd name="T11" fmla="*/ 33 h 348"/>
                  <a:gd name="T12" fmla="+- 0 15065 15054"/>
                  <a:gd name="T13" fmla="*/ T12 w 272"/>
                  <a:gd name="T14" fmla="+- 0 99 -45"/>
                  <a:gd name="T15" fmla="*/ 99 h 348"/>
                  <a:gd name="T16" fmla="+- 0 15066 15054"/>
                  <a:gd name="T17" fmla="*/ T16 w 272"/>
                  <a:gd name="T18" fmla="+- 0 121 -45"/>
                  <a:gd name="T19" fmla="*/ 121 h 348"/>
                  <a:gd name="T20" fmla="+- 0 15094 15054"/>
                  <a:gd name="T21" fmla="*/ T20 w 272"/>
                  <a:gd name="T22" fmla="+- 0 176 -45"/>
                  <a:gd name="T23" fmla="*/ 176 h 348"/>
                  <a:gd name="T24" fmla="+- 0 15162 15054"/>
                  <a:gd name="T25" fmla="*/ T24 w 272"/>
                  <a:gd name="T26" fmla="+- 0 199 -45"/>
                  <a:gd name="T27" fmla="*/ 199 h 348"/>
                  <a:gd name="T28" fmla="+- 0 15182 15054"/>
                  <a:gd name="T29" fmla="*/ T28 w 272"/>
                  <a:gd name="T30" fmla="+- 0 194 -45"/>
                  <a:gd name="T31" fmla="*/ 194 h 348"/>
                  <a:gd name="T32" fmla="+- 0 15201 15054"/>
                  <a:gd name="T33" fmla="*/ T32 w 272"/>
                  <a:gd name="T34" fmla="+- 0 184 -45"/>
                  <a:gd name="T35" fmla="*/ 184 h 348"/>
                  <a:gd name="T36" fmla="+- 0 15216 15054"/>
                  <a:gd name="T37" fmla="*/ T36 w 272"/>
                  <a:gd name="T38" fmla="+- 0 171 -45"/>
                  <a:gd name="T39" fmla="*/ 171 h 348"/>
                  <a:gd name="T40" fmla="+- 0 15228 15054"/>
                  <a:gd name="T41" fmla="*/ T40 w 272"/>
                  <a:gd name="T42" fmla="+- 0 154 -45"/>
                  <a:gd name="T43" fmla="*/ 154 h 348"/>
                  <a:gd name="T44" fmla="+- 0 15284 15054"/>
                  <a:gd name="T45" fmla="*/ T44 w 272"/>
                  <a:gd name="T46" fmla="+- 0 154 -45"/>
                  <a:gd name="T47" fmla="*/ 154 h 348"/>
                  <a:gd name="T48" fmla="+- 0 15286 15054"/>
                  <a:gd name="T49" fmla="*/ T48 w 272"/>
                  <a:gd name="T50" fmla="+- 0 147 -45"/>
                  <a:gd name="T51" fmla="*/ 147 h 348"/>
                  <a:gd name="T52" fmla="+- 0 15152 15054"/>
                  <a:gd name="T53" fmla="*/ T52 w 272"/>
                  <a:gd name="T54" fmla="+- 0 147 -45"/>
                  <a:gd name="T55" fmla="*/ 147 h 348"/>
                  <a:gd name="T56" fmla="+- 0 15139 15054"/>
                  <a:gd name="T57" fmla="*/ T56 w 272"/>
                  <a:gd name="T58" fmla="+- 0 134 -45"/>
                  <a:gd name="T59" fmla="*/ 134 h 348"/>
                  <a:gd name="T60" fmla="+- 0 15132 15054"/>
                  <a:gd name="T61" fmla="*/ T60 w 272"/>
                  <a:gd name="T62" fmla="+- 0 112 -45"/>
                  <a:gd name="T63" fmla="*/ 112 h 348"/>
                  <a:gd name="T64" fmla="+- 0 15131 15054"/>
                  <a:gd name="T65" fmla="*/ T64 w 272"/>
                  <a:gd name="T66" fmla="+- 0 83 -45"/>
                  <a:gd name="T67" fmla="*/ 83 h 348"/>
                  <a:gd name="T68" fmla="+- 0 15135 15054"/>
                  <a:gd name="T69" fmla="*/ T68 w 272"/>
                  <a:gd name="T70" fmla="+- 0 61 -45"/>
                  <a:gd name="T71" fmla="*/ 61 h 348"/>
                  <a:gd name="T72" fmla="+- 0 15144 15054"/>
                  <a:gd name="T73" fmla="*/ T72 w 272"/>
                  <a:gd name="T74" fmla="+- 0 40 -45"/>
                  <a:gd name="T75" fmla="*/ 40 h 348"/>
                  <a:gd name="T76" fmla="+- 0 15156 15054"/>
                  <a:gd name="T77" fmla="*/ T76 w 272"/>
                  <a:gd name="T78" fmla="+- 0 21 -45"/>
                  <a:gd name="T79" fmla="*/ 21 h 348"/>
                  <a:gd name="T80" fmla="+- 0 15173 15054"/>
                  <a:gd name="T81" fmla="*/ T80 w 272"/>
                  <a:gd name="T82" fmla="+- 0 8 -45"/>
                  <a:gd name="T83" fmla="*/ 8 h 348"/>
                  <a:gd name="T84" fmla="+- 0 15194 15054"/>
                  <a:gd name="T85" fmla="*/ T84 w 272"/>
                  <a:gd name="T86" fmla="+- 0 3 -45"/>
                  <a:gd name="T87" fmla="*/ 3 h 348"/>
                  <a:gd name="T88" fmla="+- 0 15316 15054"/>
                  <a:gd name="T89" fmla="*/ T88 w 272"/>
                  <a:gd name="T90" fmla="+- 0 3 -45"/>
                  <a:gd name="T91" fmla="*/ 3 h 348"/>
                  <a:gd name="T92" fmla="+- 0 15320 15054"/>
                  <a:gd name="T93" fmla="*/ T92 w 272"/>
                  <a:gd name="T94" fmla="+- 0 -15 -45"/>
                  <a:gd name="T95" fmla="*/ -15 h 348"/>
                  <a:gd name="T96" fmla="+- 0 15252 15054"/>
                  <a:gd name="T97" fmla="*/ T96 w 272"/>
                  <a:gd name="T98" fmla="+- 0 -15 -45"/>
                  <a:gd name="T99" fmla="*/ -15 h 348"/>
                  <a:gd name="T100" fmla="+- 0 15238 15054"/>
                  <a:gd name="T101" fmla="*/ T100 w 272"/>
                  <a:gd name="T102" fmla="+- 0 -28 -45"/>
                  <a:gd name="T103" fmla="*/ -28 h 348"/>
                  <a:gd name="T104" fmla="+- 0 15221 15054"/>
                  <a:gd name="T105" fmla="*/ T104 w 272"/>
                  <a:gd name="T106" fmla="+- 0 -37 -45"/>
                  <a:gd name="T107" fmla="*/ -37 h 348"/>
                  <a:gd name="T108" fmla="+- 0 15200 15054"/>
                  <a:gd name="T109" fmla="*/ T108 w 272"/>
                  <a:gd name="T110" fmla="+- 0 -43 -45"/>
                  <a:gd name="T111" fmla="*/ -43 h 348"/>
                  <a:gd name="T112" fmla="+- 0 15175 15054"/>
                  <a:gd name="T113" fmla="*/ T112 w 272"/>
                  <a:gd name="T114" fmla="+- 0 -45 -45"/>
                  <a:gd name="T115" fmla="*/ -45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272" h="348">
                    <a:moveTo>
                      <a:pt x="121" y="0"/>
                    </a:moveTo>
                    <a:lnTo>
                      <a:pt x="61" y="25"/>
                    </a:lnTo>
                    <a:lnTo>
                      <a:pt x="23" y="78"/>
                    </a:lnTo>
                    <a:lnTo>
                      <a:pt x="11" y="144"/>
                    </a:lnTo>
                    <a:lnTo>
                      <a:pt x="12" y="166"/>
                    </a:lnTo>
                    <a:lnTo>
                      <a:pt x="40" y="221"/>
                    </a:lnTo>
                    <a:lnTo>
                      <a:pt x="108" y="244"/>
                    </a:lnTo>
                    <a:lnTo>
                      <a:pt x="128" y="239"/>
                    </a:lnTo>
                    <a:lnTo>
                      <a:pt x="147" y="229"/>
                    </a:lnTo>
                    <a:lnTo>
                      <a:pt x="162" y="216"/>
                    </a:lnTo>
                    <a:lnTo>
                      <a:pt x="174" y="199"/>
                    </a:lnTo>
                    <a:lnTo>
                      <a:pt x="230" y="199"/>
                    </a:lnTo>
                    <a:lnTo>
                      <a:pt x="232" y="192"/>
                    </a:lnTo>
                    <a:lnTo>
                      <a:pt x="98" y="192"/>
                    </a:lnTo>
                    <a:lnTo>
                      <a:pt x="85" y="179"/>
                    </a:lnTo>
                    <a:lnTo>
                      <a:pt x="78" y="157"/>
                    </a:lnTo>
                    <a:lnTo>
                      <a:pt x="77" y="128"/>
                    </a:lnTo>
                    <a:lnTo>
                      <a:pt x="81" y="106"/>
                    </a:lnTo>
                    <a:lnTo>
                      <a:pt x="90" y="85"/>
                    </a:lnTo>
                    <a:lnTo>
                      <a:pt x="102" y="66"/>
                    </a:lnTo>
                    <a:lnTo>
                      <a:pt x="119" y="53"/>
                    </a:lnTo>
                    <a:lnTo>
                      <a:pt x="140" y="48"/>
                    </a:lnTo>
                    <a:lnTo>
                      <a:pt x="262" y="48"/>
                    </a:lnTo>
                    <a:lnTo>
                      <a:pt x="266" y="30"/>
                    </a:lnTo>
                    <a:lnTo>
                      <a:pt x="198" y="30"/>
                    </a:lnTo>
                    <a:lnTo>
                      <a:pt x="184" y="17"/>
                    </a:lnTo>
                    <a:lnTo>
                      <a:pt x="167" y="8"/>
                    </a:lnTo>
                    <a:lnTo>
                      <a:pt x="146" y="2"/>
                    </a:lnTo>
                    <a:lnTo>
                      <a:pt x="12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2" name="Freeform 71">
                <a:extLst>
                  <a:ext uri="{FF2B5EF4-FFF2-40B4-BE49-F238E27FC236}">
                    <a16:creationId xmlns:a16="http://schemas.microsoft.com/office/drawing/2014/main" id="{00000000-0008-0000-1800-000048000000}"/>
                  </a:ext>
                </a:extLst>
              </xdr:cNvPr>
              <xdr:cNvSpPr>
                <a:spLocks/>
              </xdr:cNvSpPr>
            </xdr:nvSpPr>
            <xdr:spPr bwMode="auto">
              <a:xfrm>
                <a:off x="15054" y="-45"/>
                <a:ext cx="272" cy="348"/>
              </a:xfrm>
              <a:custGeom>
                <a:avLst/>
                <a:gdLst>
                  <a:gd name="T0" fmla="+- 0 15316 15054"/>
                  <a:gd name="T1" fmla="*/ T0 w 272"/>
                  <a:gd name="T2" fmla="+- 0 3 -45"/>
                  <a:gd name="T3" fmla="*/ 3 h 348"/>
                  <a:gd name="T4" fmla="+- 0 15194 15054"/>
                  <a:gd name="T5" fmla="*/ T4 w 272"/>
                  <a:gd name="T6" fmla="+- 0 3 -45"/>
                  <a:gd name="T7" fmla="*/ 3 h 348"/>
                  <a:gd name="T8" fmla="+- 0 15214 15054"/>
                  <a:gd name="T9" fmla="*/ T8 w 272"/>
                  <a:gd name="T10" fmla="+- 0 7 -45"/>
                  <a:gd name="T11" fmla="*/ 7 h 348"/>
                  <a:gd name="T12" fmla="+- 0 15228 15054"/>
                  <a:gd name="T13" fmla="*/ T12 w 272"/>
                  <a:gd name="T14" fmla="+- 0 20 -45"/>
                  <a:gd name="T15" fmla="*/ 20 h 348"/>
                  <a:gd name="T16" fmla="+- 0 15236 15054"/>
                  <a:gd name="T17" fmla="*/ T16 w 272"/>
                  <a:gd name="T18" fmla="+- 0 40 -45"/>
                  <a:gd name="T19" fmla="*/ 40 h 348"/>
                  <a:gd name="T20" fmla="+- 0 15239 15054"/>
                  <a:gd name="T21" fmla="*/ T20 w 272"/>
                  <a:gd name="T22" fmla="+- 0 69 -45"/>
                  <a:gd name="T23" fmla="*/ 69 h 348"/>
                  <a:gd name="T24" fmla="+- 0 15235 15054"/>
                  <a:gd name="T25" fmla="*/ T24 w 272"/>
                  <a:gd name="T26" fmla="+- 0 89 -45"/>
                  <a:gd name="T27" fmla="*/ 89 h 348"/>
                  <a:gd name="T28" fmla="+- 0 15179 15054"/>
                  <a:gd name="T29" fmla="*/ T28 w 272"/>
                  <a:gd name="T30" fmla="+- 0 145 -45"/>
                  <a:gd name="T31" fmla="*/ 145 h 348"/>
                  <a:gd name="T32" fmla="+- 0 15152 15054"/>
                  <a:gd name="T33" fmla="*/ T32 w 272"/>
                  <a:gd name="T34" fmla="+- 0 147 -45"/>
                  <a:gd name="T35" fmla="*/ 147 h 348"/>
                  <a:gd name="T36" fmla="+- 0 15286 15054"/>
                  <a:gd name="T37" fmla="*/ T36 w 272"/>
                  <a:gd name="T38" fmla="+- 0 147 -45"/>
                  <a:gd name="T39" fmla="*/ 147 h 348"/>
                  <a:gd name="T40" fmla="+- 0 15316 15054"/>
                  <a:gd name="T41" fmla="*/ T40 w 272"/>
                  <a:gd name="T42" fmla="+- 0 3 -45"/>
                  <a:gd name="T43" fmla="*/ 3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72" h="348">
                    <a:moveTo>
                      <a:pt x="262" y="48"/>
                    </a:moveTo>
                    <a:lnTo>
                      <a:pt x="140" y="48"/>
                    </a:lnTo>
                    <a:lnTo>
                      <a:pt x="160" y="52"/>
                    </a:lnTo>
                    <a:lnTo>
                      <a:pt x="174" y="65"/>
                    </a:lnTo>
                    <a:lnTo>
                      <a:pt x="182" y="85"/>
                    </a:lnTo>
                    <a:lnTo>
                      <a:pt x="185" y="114"/>
                    </a:lnTo>
                    <a:lnTo>
                      <a:pt x="181" y="134"/>
                    </a:lnTo>
                    <a:lnTo>
                      <a:pt x="125" y="190"/>
                    </a:lnTo>
                    <a:lnTo>
                      <a:pt x="98" y="192"/>
                    </a:lnTo>
                    <a:lnTo>
                      <a:pt x="232" y="192"/>
                    </a:lnTo>
                    <a:lnTo>
                      <a:pt x="262" y="4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3" name="Freeform 72">
                <a:extLst>
                  <a:ext uri="{FF2B5EF4-FFF2-40B4-BE49-F238E27FC236}">
                    <a16:creationId xmlns:a16="http://schemas.microsoft.com/office/drawing/2014/main" id="{00000000-0008-0000-1800-000049000000}"/>
                  </a:ext>
                </a:extLst>
              </xdr:cNvPr>
              <xdr:cNvSpPr>
                <a:spLocks/>
              </xdr:cNvSpPr>
            </xdr:nvSpPr>
            <xdr:spPr bwMode="auto">
              <a:xfrm>
                <a:off x="15054" y="-45"/>
                <a:ext cx="272" cy="348"/>
              </a:xfrm>
              <a:custGeom>
                <a:avLst/>
                <a:gdLst>
                  <a:gd name="T0" fmla="+- 0 15326 15054"/>
                  <a:gd name="T1" fmla="*/ T0 w 272"/>
                  <a:gd name="T2" fmla="+- 0 -40 -45"/>
                  <a:gd name="T3" fmla="*/ -40 h 348"/>
                  <a:gd name="T4" fmla="+- 0 15266 15054"/>
                  <a:gd name="T5" fmla="*/ T4 w 272"/>
                  <a:gd name="T6" fmla="+- 0 -40 -45"/>
                  <a:gd name="T7" fmla="*/ -40 h 348"/>
                  <a:gd name="T8" fmla="+- 0 15252 15054"/>
                  <a:gd name="T9" fmla="*/ T8 w 272"/>
                  <a:gd name="T10" fmla="+- 0 -15 -45"/>
                  <a:gd name="T11" fmla="*/ -15 h 348"/>
                  <a:gd name="T12" fmla="+- 0 15320 15054"/>
                  <a:gd name="T13" fmla="*/ T12 w 272"/>
                  <a:gd name="T14" fmla="+- 0 -15 -45"/>
                  <a:gd name="T15" fmla="*/ -15 h 348"/>
                  <a:gd name="T16" fmla="+- 0 15321 15054"/>
                  <a:gd name="T17" fmla="*/ T16 w 272"/>
                  <a:gd name="T18" fmla="+- 0 -22 -45"/>
                  <a:gd name="T19" fmla="*/ -22 h 348"/>
                  <a:gd name="T20" fmla="+- 0 15324 15054"/>
                  <a:gd name="T21" fmla="*/ T20 w 272"/>
                  <a:gd name="T22" fmla="+- 0 -33 -45"/>
                  <a:gd name="T23" fmla="*/ -33 h 348"/>
                  <a:gd name="T24" fmla="+- 0 15326 15054"/>
                  <a:gd name="T25" fmla="*/ T24 w 272"/>
                  <a:gd name="T26" fmla="+- 0 -40 -45"/>
                  <a:gd name="T27" fmla="*/ -40 h 348"/>
                </a:gdLst>
                <a:ahLst/>
                <a:cxnLst>
                  <a:cxn ang="0">
                    <a:pos x="T1" y="T3"/>
                  </a:cxn>
                  <a:cxn ang="0">
                    <a:pos x="T5" y="T7"/>
                  </a:cxn>
                  <a:cxn ang="0">
                    <a:pos x="T9" y="T11"/>
                  </a:cxn>
                  <a:cxn ang="0">
                    <a:pos x="T13" y="T15"/>
                  </a:cxn>
                  <a:cxn ang="0">
                    <a:pos x="T17" y="T19"/>
                  </a:cxn>
                  <a:cxn ang="0">
                    <a:pos x="T21" y="T23"/>
                  </a:cxn>
                  <a:cxn ang="0">
                    <a:pos x="T25" y="T27"/>
                  </a:cxn>
                </a:cxnLst>
                <a:rect l="0" t="0" r="r" b="b"/>
                <a:pathLst>
                  <a:path w="272" h="348">
                    <a:moveTo>
                      <a:pt x="272" y="5"/>
                    </a:moveTo>
                    <a:lnTo>
                      <a:pt x="212" y="5"/>
                    </a:lnTo>
                    <a:lnTo>
                      <a:pt x="198" y="30"/>
                    </a:lnTo>
                    <a:lnTo>
                      <a:pt x="266" y="30"/>
                    </a:lnTo>
                    <a:lnTo>
                      <a:pt x="267" y="23"/>
                    </a:lnTo>
                    <a:lnTo>
                      <a:pt x="270" y="12"/>
                    </a:lnTo>
                    <a:lnTo>
                      <a:pt x="272" y="5"/>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3" name="Group 52">
              <a:extLst>
                <a:ext uri="{FF2B5EF4-FFF2-40B4-BE49-F238E27FC236}">
                  <a16:creationId xmlns:a16="http://schemas.microsoft.com/office/drawing/2014/main" id="{00000000-0008-0000-1800-000035000000}"/>
                </a:ext>
              </a:extLst>
            </xdr:cNvPr>
            <xdr:cNvGrpSpPr>
              <a:grpSpLocks/>
            </xdr:cNvGrpSpPr>
          </xdr:nvGrpSpPr>
          <xdr:grpSpPr bwMode="auto">
            <a:xfrm>
              <a:off x="15339" y="-149"/>
              <a:ext cx="136" cy="349"/>
              <a:chOff x="15339" y="-149"/>
              <a:chExt cx="136" cy="349"/>
            </a:xfrm>
          </xdr:grpSpPr>
          <xdr:sp macro="" textlink="">
            <xdr:nvSpPr>
              <xdr:cNvPr id="68" name="Freeform 67">
                <a:extLst>
                  <a:ext uri="{FF2B5EF4-FFF2-40B4-BE49-F238E27FC236}">
                    <a16:creationId xmlns:a16="http://schemas.microsoft.com/office/drawing/2014/main" id="{00000000-0008-0000-1800-000044000000}"/>
                  </a:ext>
                </a:extLst>
              </xdr:cNvPr>
              <xdr:cNvSpPr>
                <a:spLocks/>
              </xdr:cNvSpPr>
            </xdr:nvSpPr>
            <xdr:spPr bwMode="auto">
              <a:xfrm>
                <a:off x="15339" y="-149"/>
                <a:ext cx="136" cy="349"/>
              </a:xfrm>
              <a:custGeom>
                <a:avLst/>
                <a:gdLst>
                  <a:gd name="T0" fmla="+- 0 15475 15339"/>
                  <a:gd name="T1" fmla="*/ T0 w 136"/>
                  <a:gd name="T2" fmla="+- 0 -149 -149"/>
                  <a:gd name="T3" fmla="*/ -149 h 349"/>
                  <a:gd name="T4" fmla="+- 0 15413 15339"/>
                  <a:gd name="T5" fmla="*/ T4 w 136"/>
                  <a:gd name="T6" fmla="+- 0 -149 -149"/>
                  <a:gd name="T7" fmla="*/ -149 h 349"/>
                  <a:gd name="T8" fmla="+- 0 15339 15339"/>
                  <a:gd name="T9" fmla="*/ T8 w 136"/>
                  <a:gd name="T10" fmla="+- 0 200 -149"/>
                  <a:gd name="T11" fmla="*/ 200 h 349"/>
                  <a:gd name="T12" fmla="+- 0 15401 15339"/>
                  <a:gd name="T13" fmla="*/ T12 w 136"/>
                  <a:gd name="T14" fmla="+- 0 200 -149"/>
                  <a:gd name="T15" fmla="*/ 200 h 349"/>
                  <a:gd name="T16" fmla="+- 0 15475 15339"/>
                  <a:gd name="T17" fmla="*/ T16 w 136"/>
                  <a:gd name="T18" fmla="+- 0 -149 -149"/>
                  <a:gd name="T19" fmla="*/ -149 h 349"/>
                </a:gdLst>
                <a:ahLst/>
                <a:cxnLst>
                  <a:cxn ang="0">
                    <a:pos x="T1" y="T3"/>
                  </a:cxn>
                  <a:cxn ang="0">
                    <a:pos x="T5" y="T7"/>
                  </a:cxn>
                  <a:cxn ang="0">
                    <a:pos x="T9" y="T11"/>
                  </a:cxn>
                  <a:cxn ang="0">
                    <a:pos x="T13" y="T15"/>
                  </a:cxn>
                  <a:cxn ang="0">
                    <a:pos x="T17" y="T19"/>
                  </a:cxn>
                </a:cxnLst>
                <a:rect l="0" t="0" r="r" b="b"/>
                <a:pathLst>
                  <a:path w="136" h="349">
                    <a:moveTo>
                      <a:pt x="136" y="0"/>
                    </a:moveTo>
                    <a:lnTo>
                      <a:pt x="74" y="0"/>
                    </a:lnTo>
                    <a:lnTo>
                      <a:pt x="0" y="349"/>
                    </a:lnTo>
                    <a:lnTo>
                      <a:pt x="62" y="349"/>
                    </a:lnTo>
                    <a:lnTo>
                      <a:pt x="13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4" name="Group 53">
              <a:extLst>
                <a:ext uri="{FF2B5EF4-FFF2-40B4-BE49-F238E27FC236}">
                  <a16:creationId xmlns:a16="http://schemas.microsoft.com/office/drawing/2014/main" id="{00000000-0008-0000-1800-000036000000}"/>
                </a:ext>
              </a:extLst>
            </xdr:cNvPr>
            <xdr:cNvGrpSpPr>
              <a:grpSpLocks/>
            </xdr:cNvGrpSpPr>
          </xdr:nvGrpSpPr>
          <xdr:grpSpPr bwMode="auto">
            <a:xfrm>
              <a:off x="15469" y="-45"/>
              <a:ext cx="227" cy="250"/>
              <a:chOff x="15469" y="-45"/>
              <a:chExt cx="227" cy="250"/>
            </a:xfrm>
          </xdr:grpSpPr>
          <xdr:sp macro="" textlink="">
            <xdr:nvSpPr>
              <xdr:cNvPr id="64" name="Freeform 63">
                <a:extLst>
                  <a:ext uri="{FF2B5EF4-FFF2-40B4-BE49-F238E27FC236}">
                    <a16:creationId xmlns:a16="http://schemas.microsoft.com/office/drawing/2014/main" id="{00000000-0008-0000-1800-000040000000}"/>
                  </a:ext>
                </a:extLst>
              </xdr:cNvPr>
              <xdr:cNvSpPr>
                <a:spLocks/>
              </xdr:cNvSpPr>
            </xdr:nvSpPr>
            <xdr:spPr bwMode="auto">
              <a:xfrm>
                <a:off x="15469" y="-45"/>
                <a:ext cx="227" cy="250"/>
              </a:xfrm>
              <a:custGeom>
                <a:avLst/>
                <a:gdLst>
                  <a:gd name="T0" fmla="+- 0 15692 15469"/>
                  <a:gd name="T1" fmla="*/ T0 w 227"/>
                  <a:gd name="T2" fmla="+- 0 2 -45"/>
                  <a:gd name="T3" fmla="*/ 2 h 250"/>
                  <a:gd name="T4" fmla="+- 0 15585 15469"/>
                  <a:gd name="T5" fmla="*/ T4 w 227"/>
                  <a:gd name="T6" fmla="+- 0 2 -45"/>
                  <a:gd name="T7" fmla="*/ 2 h 250"/>
                  <a:gd name="T8" fmla="+- 0 15611 15469"/>
                  <a:gd name="T9" fmla="*/ T8 w 227"/>
                  <a:gd name="T10" fmla="+- 0 2 -45"/>
                  <a:gd name="T11" fmla="*/ 2 h 250"/>
                  <a:gd name="T12" fmla="+- 0 15631 15469"/>
                  <a:gd name="T13" fmla="*/ T12 w 227"/>
                  <a:gd name="T14" fmla="+- 0 12 -45"/>
                  <a:gd name="T15" fmla="*/ 12 h 250"/>
                  <a:gd name="T16" fmla="+- 0 15639 15469"/>
                  <a:gd name="T17" fmla="*/ T16 w 227"/>
                  <a:gd name="T18" fmla="+- 0 31 -45"/>
                  <a:gd name="T19" fmla="*/ 31 h 250"/>
                  <a:gd name="T20" fmla="+- 0 15639 15469"/>
                  <a:gd name="T21" fmla="*/ T20 w 227"/>
                  <a:gd name="T22" fmla="+- 0 45 -45"/>
                  <a:gd name="T23" fmla="*/ 45 h 250"/>
                  <a:gd name="T24" fmla="+- 0 15637 15469"/>
                  <a:gd name="T25" fmla="*/ T24 w 227"/>
                  <a:gd name="T26" fmla="+- 0 52 -45"/>
                  <a:gd name="T27" fmla="*/ 52 h 250"/>
                  <a:gd name="T28" fmla="+- 0 15600 15469"/>
                  <a:gd name="T29" fmla="*/ T28 w 227"/>
                  <a:gd name="T30" fmla="+- 0 52 -45"/>
                  <a:gd name="T31" fmla="*/ 52 h 250"/>
                  <a:gd name="T32" fmla="+- 0 15577 15469"/>
                  <a:gd name="T33" fmla="*/ T32 w 227"/>
                  <a:gd name="T34" fmla="+- 0 53 -45"/>
                  <a:gd name="T35" fmla="*/ 53 h 250"/>
                  <a:gd name="T36" fmla="+- 0 15512 15469"/>
                  <a:gd name="T37" fmla="*/ T36 w 227"/>
                  <a:gd name="T38" fmla="+- 0 69 -45"/>
                  <a:gd name="T39" fmla="*/ 69 h 250"/>
                  <a:gd name="T40" fmla="+- 0 15472 15469"/>
                  <a:gd name="T41" fmla="*/ T40 w 227"/>
                  <a:gd name="T42" fmla="+- 0 119 -45"/>
                  <a:gd name="T43" fmla="*/ 119 h 250"/>
                  <a:gd name="T44" fmla="+- 0 15469 15469"/>
                  <a:gd name="T45" fmla="*/ T44 w 227"/>
                  <a:gd name="T46" fmla="+- 0 146 -45"/>
                  <a:gd name="T47" fmla="*/ 146 h 250"/>
                  <a:gd name="T48" fmla="+- 0 15469 15469"/>
                  <a:gd name="T49" fmla="*/ T48 w 227"/>
                  <a:gd name="T50" fmla="+- 0 147 -45"/>
                  <a:gd name="T51" fmla="*/ 147 h 250"/>
                  <a:gd name="T52" fmla="+- 0 15525 15469"/>
                  <a:gd name="T53" fmla="*/ T52 w 227"/>
                  <a:gd name="T54" fmla="+- 0 203 -45"/>
                  <a:gd name="T55" fmla="*/ 203 h 250"/>
                  <a:gd name="T56" fmla="+- 0 15551 15469"/>
                  <a:gd name="T57" fmla="*/ T56 w 227"/>
                  <a:gd name="T58" fmla="+- 0 205 -45"/>
                  <a:gd name="T59" fmla="*/ 205 h 250"/>
                  <a:gd name="T60" fmla="+- 0 15572 15469"/>
                  <a:gd name="T61" fmla="*/ T60 w 227"/>
                  <a:gd name="T62" fmla="+- 0 201 -45"/>
                  <a:gd name="T63" fmla="*/ 201 h 250"/>
                  <a:gd name="T64" fmla="+- 0 15589 15469"/>
                  <a:gd name="T65" fmla="*/ T64 w 227"/>
                  <a:gd name="T66" fmla="+- 0 192 -45"/>
                  <a:gd name="T67" fmla="*/ 192 h 250"/>
                  <a:gd name="T68" fmla="+- 0 15605 15469"/>
                  <a:gd name="T69" fmla="*/ T68 w 227"/>
                  <a:gd name="T70" fmla="+- 0 179 -45"/>
                  <a:gd name="T71" fmla="*/ 179 h 250"/>
                  <a:gd name="T72" fmla="+- 0 15620 15469"/>
                  <a:gd name="T73" fmla="*/ T72 w 227"/>
                  <a:gd name="T74" fmla="+- 0 163 -45"/>
                  <a:gd name="T75" fmla="*/ 163 h 250"/>
                  <a:gd name="T76" fmla="+- 0 15673 15469"/>
                  <a:gd name="T77" fmla="*/ T76 w 227"/>
                  <a:gd name="T78" fmla="+- 0 163 -45"/>
                  <a:gd name="T79" fmla="*/ 163 h 250"/>
                  <a:gd name="T80" fmla="+- 0 15673 15469"/>
                  <a:gd name="T81" fmla="*/ T80 w 227"/>
                  <a:gd name="T82" fmla="+- 0 160 -45"/>
                  <a:gd name="T83" fmla="*/ 160 h 250"/>
                  <a:gd name="T84" fmla="+- 0 15560 15469"/>
                  <a:gd name="T85" fmla="*/ T84 w 227"/>
                  <a:gd name="T86" fmla="+- 0 160 -45"/>
                  <a:gd name="T87" fmla="*/ 160 h 250"/>
                  <a:gd name="T88" fmla="+- 0 15549 15469"/>
                  <a:gd name="T89" fmla="*/ T88 w 227"/>
                  <a:gd name="T90" fmla="+- 0 158 -45"/>
                  <a:gd name="T91" fmla="*/ 158 h 250"/>
                  <a:gd name="T92" fmla="+- 0 15535 15469"/>
                  <a:gd name="T93" fmla="*/ T92 w 227"/>
                  <a:gd name="T94" fmla="+- 0 147 -45"/>
                  <a:gd name="T95" fmla="*/ 147 h 250"/>
                  <a:gd name="T96" fmla="+- 0 15530 15469"/>
                  <a:gd name="T97" fmla="*/ T96 w 227"/>
                  <a:gd name="T98" fmla="+- 0 120 -45"/>
                  <a:gd name="T99" fmla="*/ 120 h 250"/>
                  <a:gd name="T100" fmla="+- 0 15543 15469"/>
                  <a:gd name="T101" fmla="*/ T100 w 227"/>
                  <a:gd name="T102" fmla="+- 0 104 -45"/>
                  <a:gd name="T103" fmla="*/ 104 h 250"/>
                  <a:gd name="T104" fmla="+- 0 15564 15469"/>
                  <a:gd name="T105" fmla="*/ T104 w 227"/>
                  <a:gd name="T106" fmla="+- 0 94 -45"/>
                  <a:gd name="T107" fmla="*/ 94 h 250"/>
                  <a:gd name="T108" fmla="+- 0 15587 15469"/>
                  <a:gd name="T109" fmla="*/ T108 w 227"/>
                  <a:gd name="T110" fmla="+- 0 90 -45"/>
                  <a:gd name="T111" fmla="*/ 90 h 250"/>
                  <a:gd name="T112" fmla="+- 0 15608 15469"/>
                  <a:gd name="T113" fmla="*/ T112 w 227"/>
                  <a:gd name="T114" fmla="+- 0 89 -45"/>
                  <a:gd name="T115" fmla="*/ 89 h 250"/>
                  <a:gd name="T116" fmla="+- 0 15687 15469"/>
                  <a:gd name="T117" fmla="*/ T116 w 227"/>
                  <a:gd name="T118" fmla="+- 0 89 -45"/>
                  <a:gd name="T119" fmla="*/ 89 h 250"/>
                  <a:gd name="T120" fmla="+- 0 15689 15469"/>
                  <a:gd name="T121" fmla="*/ T120 w 227"/>
                  <a:gd name="T122" fmla="+- 0 78 -45"/>
                  <a:gd name="T123" fmla="*/ 78 h 250"/>
                  <a:gd name="T124" fmla="+- 0 15693 15469"/>
                  <a:gd name="T125" fmla="*/ T124 w 227"/>
                  <a:gd name="T126" fmla="+- 0 58 -45"/>
                  <a:gd name="T127" fmla="*/ 58 h 250"/>
                  <a:gd name="T128" fmla="+- 0 15695 15469"/>
                  <a:gd name="T129" fmla="*/ T128 w 227"/>
                  <a:gd name="T130" fmla="+- 0 41 -45"/>
                  <a:gd name="T131" fmla="*/ 41 h 250"/>
                  <a:gd name="T132" fmla="+- 0 15696 15469"/>
                  <a:gd name="T133" fmla="*/ T132 w 227"/>
                  <a:gd name="T134" fmla="+- 0 27 -45"/>
                  <a:gd name="T135" fmla="*/ 27 h 250"/>
                  <a:gd name="T136" fmla="+- 0 15692 15469"/>
                  <a:gd name="T137" fmla="*/ T136 w 227"/>
                  <a:gd name="T138" fmla="+- 0 3 -45"/>
                  <a:gd name="T139" fmla="*/ 3 h 250"/>
                  <a:gd name="T140" fmla="+- 0 15692 15469"/>
                  <a:gd name="T141" fmla="*/ T140 w 227"/>
                  <a:gd name="T142" fmla="+- 0 2 -45"/>
                  <a:gd name="T143" fmla="*/ 2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227" h="250">
                    <a:moveTo>
                      <a:pt x="223" y="47"/>
                    </a:moveTo>
                    <a:lnTo>
                      <a:pt x="116" y="47"/>
                    </a:lnTo>
                    <a:lnTo>
                      <a:pt x="142" y="47"/>
                    </a:lnTo>
                    <a:lnTo>
                      <a:pt x="162" y="57"/>
                    </a:lnTo>
                    <a:lnTo>
                      <a:pt x="170" y="76"/>
                    </a:lnTo>
                    <a:lnTo>
                      <a:pt x="170" y="90"/>
                    </a:lnTo>
                    <a:lnTo>
                      <a:pt x="168" y="97"/>
                    </a:lnTo>
                    <a:lnTo>
                      <a:pt x="131" y="97"/>
                    </a:lnTo>
                    <a:lnTo>
                      <a:pt x="108" y="98"/>
                    </a:lnTo>
                    <a:lnTo>
                      <a:pt x="43" y="114"/>
                    </a:lnTo>
                    <a:lnTo>
                      <a:pt x="3" y="164"/>
                    </a:lnTo>
                    <a:lnTo>
                      <a:pt x="0" y="191"/>
                    </a:lnTo>
                    <a:lnTo>
                      <a:pt x="0" y="192"/>
                    </a:lnTo>
                    <a:lnTo>
                      <a:pt x="56" y="248"/>
                    </a:lnTo>
                    <a:lnTo>
                      <a:pt x="82" y="250"/>
                    </a:lnTo>
                    <a:lnTo>
                      <a:pt x="103" y="246"/>
                    </a:lnTo>
                    <a:lnTo>
                      <a:pt x="120" y="237"/>
                    </a:lnTo>
                    <a:lnTo>
                      <a:pt x="136" y="224"/>
                    </a:lnTo>
                    <a:lnTo>
                      <a:pt x="151" y="208"/>
                    </a:lnTo>
                    <a:lnTo>
                      <a:pt x="204" y="208"/>
                    </a:lnTo>
                    <a:lnTo>
                      <a:pt x="204" y="205"/>
                    </a:lnTo>
                    <a:lnTo>
                      <a:pt x="91" y="205"/>
                    </a:lnTo>
                    <a:lnTo>
                      <a:pt x="80" y="203"/>
                    </a:lnTo>
                    <a:lnTo>
                      <a:pt x="66" y="192"/>
                    </a:lnTo>
                    <a:lnTo>
                      <a:pt x="61" y="165"/>
                    </a:lnTo>
                    <a:lnTo>
                      <a:pt x="74" y="149"/>
                    </a:lnTo>
                    <a:lnTo>
                      <a:pt x="95" y="139"/>
                    </a:lnTo>
                    <a:lnTo>
                      <a:pt x="118" y="135"/>
                    </a:lnTo>
                    <a:lnTo>
                      <a:pt x="139" y="134"/>
                    </a:lnTo>
                    <a:lnTo>
                      <a:pt x="218" y="134"/>
                    </a:lnTo>
                    <a:lnTo>
                      <a:pt x="220" y="123"/>
                    </a:lnTo>
                    <a:lnTo>
                      <a:pt x="224" y="103"/>
                    </a:lnTo>
                    <a:lnTo>
                      <a:pt x="226" y="86"/>
                    </a:lnTo>
                    <a:lnTo>
                      <a:pt x="227" y="72"/>
                    </a:lnTo>
                    <a:lnTo>
                      <a:pt x="223" y="48"/>
                    </a:lnTo>
                    <a:lnTo>
                      <a:pt x="223" y="47"/>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5" name="Freeform 64">
                <a:extLst>
                  <a:ext uri="{FF2B5EF4-FFF2-40B4-BE49-F238E27FC236}">
                    <a16:creationId xmlns:a16="http://schemas.microsoft.com/office/drawing/2014/main" id="{00000000-0008-0000-1800-000041000000}"/>
                  </a:ext>
                </a:extLst>
              </xdr:cNvPr>
              <xdr:cNvSpPr>
                <a:spLocks/>
              </xdr:cNvSpPr>
            </xdr:nvSpPr>
            <xdr:spPr bwMode="auto">
              <a:xfrm>
                <a:off x="15469" y="-45"/>
                <a:ext cx="227" cy="250"/>
              </a:xfrm>
              <a:custGeom>
                <a:avLst/>
                <a:gdLst>
                  <a:gd name="T0" fmla="+- 0 15673 15469"/>
                  <a:gd name="T1" fmla="*/ T0 w 227"/>
                  <a:gd name="T2" fmla="+- 0 163 -45"/>
                  <a:gd name="T3" fmla="*/ 163 h 250"/>
                  <a:gd name="T4" fmla="+- 0 15620 15469"/>
                  <a:gd name="T5" fmla="*/ T4 w 227"/>
                  <a:gd name="T6" fmla="+- 0 163 -45"/>
                  <a:gd name="T7" fmla="*/ 163 h 250"/>
                  <a:gd name="T8" fmla="+- 0 15614 15469"/>
                  <a:gd name="T9" fmla="*/ T8 w 227"/>
                  <a:gd name="T10" fmla="+- 0 200 -45"/>
                  <a:gd name="T11" fmla="*/ 200 h 250"/>
                  <a:gd name="T12" fmla="+- 0 15668 15469"/>
                  <a:gd name="T13" fmla="*/ T12 w 227"/>
                  <a:gd name="T14" fmla="+- 0 187 -45"/>
                  <a:gd name="T15" fmla="*/ 187 h 250"/>
                  <a:gd name="T16" fmla="+- 0 15672 15469"/>
                  <a:gd name="T17" fmla="*/ T16 w 227"/>
                  <a:gd name="T18" fmla="+- 0 167 -45"/>
                  <a:gd name="T19" fmla="*/ 167 h 250"/>
                  <a:gd name="T20" fmla="+- 0 15673 15469"/>
                  <a:gd name="T21" fmla="*/ T20 w 227"/>
                  <a:gd name="T22" fmla="+- 0 163 -45"/>
                  <a:gd name="T23" fmla="*/ 163 h 250"/>
                </a:gdLst>
                <a:ahLst/>
                <a:cxnLst>
                  <a:cxn ang="0">
                    <a:pos x="T1" y="T3"/>
                  </a:cxn>
                  <a:cxn ang="0">
                    <a:pos x="T5" y="T7"/>
                  </a:cxn>
                  <a:cxn ang="0">
                    <a:pos x="T9" y="T11"/>
                  </a:cxn>
                  <a:cxn ang="0">
                    <a:pos x="T13" y="T15"/>
                  </a:cxn>
                  <a:cxn ang="0">
                    <a:pos x="T17" y="T19"/>
                  </a:cxn>
                  <a:cxn ang="0">
                    <a:pos x="T21" y="T23"/>
                  </a:cxn>
                </a:cxnLst>
                <a:rect l="0" t="0" r="r" b="b"/>
                <a:pathLst>
                  <a:path w="227" h="250">
                    <a:moveTo>
                      <a:pt x="204" y="208"/>
                    </a:moveTo>
                    <a:lnTo>
                      <a:pt x="151" y="208"/>
                    </a:lnTo>
                    <a:lnTo>
                      <a:pt x="145" y="245"/>
                    </a:lnTo>
                    <a:lnTo>
                      <a:pt x="199" y="232"/>
                    </a:lnTo>
                    <a:lnTo>
                      <a:pt x="203" y="212"/>
                    </a:lnTo>
                    <a:lnTo>
                      <a:pt x="204" y="20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6" name="Freeform 65">
                <a:extLst>
                  <a:ext uri="{FF2B5EF4-FFF2-40B4-BE49-F238E27FC236}">
                    <a16:creationId xmlns:a16="http://schemas.microsoft.com/office/drawing/2014/main" id="{00000000-0008-0000-1800-000042000000}"/>
                  </a:ext>
                </a:extLst>
              </xdr:cNvPr>
              <xdr:cNvSpPr>
                <a:spLocks/>
              </xdr:cNvSpPr>
            </xdr:nvSpPr>
            <xdr:spPr bwMode="auto">
              <a:xfrm>
                <a:off x="15469" y="-45"/>
                <a:ext cx="227" cy="250"/>
              </a:xfrm>
              <a:custGeom>
                <a:avLst/>
                <a:gdLst>
                  <a:gd name="T0" fmla="+- 0 15687 15469"/>
                  <a:gd name="T1" fmla="*/ T0 w 227"/>
                  <a:gd name="T2" fmla="+- 0 89 -45"/>
                  <a:gd name="T3" fmla="*/ 89 h 250"/>
                  <a:gd name="T4" fmla="+- 0 15608 15469"/>
                  <a:gd name="T5" fmla="*/ T4 w 227"/>
                  <a:gd name="T6" fmla="+- 0 89 -45"/>
                  <a:gd name="T7" fmla="*/ 89 h 250"/>
                  <a:gd name="T8" fmla="+- 0 15630 15469"/>
                  <a:gd name="T9" fmla="*/ T8 w 227"/>
                  <a:gd name="T10" fmla="+- 0 89 -45"/>
                  <a:gd name="T11" fmla="*/ 89 h 250"/>
                  <a:gd name="T12" fmla="+- 0 15624 15469"/>
                  <a:gd name="T13" fmla="*/ T12 w 227"/>
                  <a:gd name="T14" fmla="+- 0 111 -45"/>
                  <a:gd name="T15" fmla="*/ 111 h 250"/>
                  <a:gd name="T16" fmla="+- 0 15615 15469"/>
                  <a:gd name="T17" fmla="*/ T16 w 227"/>
                  <a:gd name="T18" fmla="+- 0 131 -45"/>
                  <a:gd name="T19" fmla="*/ 131 h 250"/>
                  <a:gd name="T20" fmla="+- 0 15602 15469"/>
                  <a:gd name="T21" fmla="*/ T20 w 227"/>
                  <a:gd name="T22" fmla="+- 0 146 -45"/>
                  <a:gd name="T23" fmla="*/ 146 h 250"/>
                  <a:gd name="T24" fmla="+- 0 15584 15469"/>
                  <a:gd name="T25" fmla="*/ T24 w 227"/>
                  <a:gd name="T26" fmla="+- 0 156 -45"/>
                  <a:gd name="T27" fmla="*/ 156 h 250"/>
                  <a:gd name="T28" fmla="+- 0 15560 15469"/>
                  <a:gd name="T29" fmla="*/ T28 w 227"/>
                  <a:gd name="T30" fmla="+- 0 160 -45"/>
                  <a:gd name="T31" fmla="*/ 160 h 250"/>
                  <a:gd name="T32" fmla="+- 0 15673 15469"/>
                  <a:gd name="T33" fmla="*/ T32 w 227"/>
                  <a:gd name="T34" fmla="+- 0 160 -45"/>
                  <a:gd name="T35" fmla="*/ 160 h 250"/>
                  <a:gd name="T36" fmla="+- 0 15676 15469"/>
                  <a:gd name="T37" fmla="*/ T36 w 227"/>
                  <a:gd name="T38" fmla="+- 0 146 -45"/>
                  <a:gd name="T39" fmla="*/ 146 h 250"/>
                  <a:gd name="T40" fmla="+- 0 15685 15469"/>
                  <a:gd name="T41" fmla="*/ T40 w 227"/>
                  <a:gd name="T42" fmla="+- 0 100 -45"/>
                  <a:gd name="T43" fmla="*/ 100 h 250"/>
                  <a:gd name="T44" fmla="+- 0 15687 15469"/>
                  <a:gd name="T45" fmla="*/ T44 w 227"/>
                  <a:gd name="T46" fmla="+- 0 89 -45"/>
                  <a:gd name="T47" fmla="*/ 89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27" h="250">
                    <a:moveTo>
                      <a:pt x="218" y="134"/>
                    </a:moveTo>
                    <a:lnTo>
                      <a:pt x="139" y="134"/>
                    </a:lnTo>
                    <a:lnTo>
                      <a:pt x="161" y="134"/>
                    </a:lnTo>
                    <a:lnTo>
                      <a:pt x="155" y="156"/>
                    </a:lnTo>
                    <a:lnTo>
                      <a:pt x="146" y="176"/>
                    </a:lnTo>
                    <a:lnTo>
                      <a:pt x="133" y="191"/>
                    </a:lnTo>
                    <a:lnTo>
                      <a:pt x="115" y="201"/>
                    </a:lnTo>
                    <a:lnTo>
                      <a:pt x="91" y="205"/>
                    </a:lnTo>
                    <a:lnTo>
                      <a:pt x="204" y="205"/>
                    </a:lnTo>
                    <a:lnTo>
                      <a:pt x="207" y="191"/>
                    </a:lnTo>
                    <a:lnTo>
                      <a:pt x="216" y="145"/>
                    </a:lnTo>
                    <a:lnTo>
                      <a:pt x="218" y="13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7" name="Freeform 66">
                <a:extLst>
                  <a:ext uri="{FF2B5EF4-FFF2-40B4-BE49-F238E27FC236}">
                    <a16:creationId xmlns:a16="http://schemas.microsoft.com/office/drawing/2014/main" id="{00000000-0008-0000-1800-000043000000}"/>
                  </a:ext>
                </a:extLst>
              </xdr:cNvPr>
              <xdr:cNvSpPr>
                <a:spLocks/>
              </xdr:cNvSpPr>
            </xdr:nvSpPr>
            <xdr:spPr bwMode="auto">
              <a:xfrm>
                <a:off x="15469" y="-45"/>
                <a:ext cx="227" cy="250"/>
              </a:xfrm>
              <a:custGeom>
                <a:avLst/>
                <a:gdLst>
                  <a:gd name="T0" fmla="+- 0 15600 15469"/>
                  <a:gd name="T1" fmla="*/ T0 w 227"/>
                  <a:gd name="T2" fmla="+- 0 -45 -45"/>
                  <a:gd name="T3" fmla="*/ -45 h 250"/>
                  <a:gd name="T4" fmla="+- 0 15521 15469"/>
                  <a:gd name="T5" fmla="*/ T4 w 227"/>
                  <a:gd name="T6" fmla="+- 0 -31 -45"/>
                  <a:gd name="T7" fmla="*/ -31 h 250"/>
                  <a:gd name="T8" fmla="+- 0 15513 15469"/>
                  <a:gd name="T9" fmla="*/ T8 w 227"/>
                  <a:gd name="T10" fmla="+- 0 18 -45"/>
                  <a:gd name="T11" fmla="*/ 18 h 250"/>
                  <a:gd name="T12" fmla="+- 0 15528 15469"/>
                  <a:gd name="T13" fmla="*/ T12 w 227"/>
                  <a:gd name="T14" fmla="+- 0 12 -45"/>
                  <a:gd name="T15" fmla="*/ 12 h 250"/>
                  <a:gd name="T16" fmla="+- 0 15545 15469"/>
                  <a:gd name="T17" fmla="*/ T16 w 227"/>
                  <a:gd name="T18" fmla="+- 0 7 -45"/>
                  <a:gd name="T19" fmla="*/ 7 h 250"/>
                  <a:gd name="T20" fmla="+- 0 15563 15469"/>
                  <a:gd name="T21" fmla="*/ T20 w 227"/>
                  <a:gd name="T22" fmla="+- 0 4 -45"/>
                  <a:gd name="T23" fmla="*/ 4 h 250"/>
                  <a:gd name="T24" fmla="+- 0 15585 15469"/>
                  <a:gd name="T25" fmla="*/ T24 w 227"/>
                  <a:gd name="T26" fmla="+- 0 2 -45"/>
                  <a:gd name="T27" fmla="*/ 2 h 250"/>
                  <a:gd name="T28" fmla="+- 0 15692 15469"/>
                  <a:gd name="T29" fmla="*/ T28 w 227"/>
                  <a:gd name="T30" fmla="+- 0 2 -45"/>
                  <a:gd name="T31" fmla="*/ 2 h 250"/>
                  <a:gd name="T32" fmla="+- 0 15682 15469"/>
                  <a:gd name="T33" fmla="*/ T32 w 227"/>
                  <a:gd name="T34" fmla="+- 0 -16 -45"/>
                  <a:gd name="T35" fmla="*/ -16 h 250"/>
                  <a:gd name="T36" fmla="+- 0 15666 15469"/>
                  <a:gd name="T37" fmla="*/ T36 w 227"/>
                  <a:gd name="T38" fmla="+- 0 -30 -45"/>
                  <a:gd name="T39" fmla="*/ -30 h 250"/>
                  <a:gd name="T40" fmla="+- 0 15647 15469"/>
                  <a:gd name="T41" fmla="*/ T40 w 227"/>
                  <a:gd name="T42" fmla="+- 0 -39 -45"/>
                  <a:gd name="T43" fmla="*/ -39 h 250"/>
                  <a:gd name="T44" fmla="+- 0 15625 15469"/>
                  <a:gd name="T45" fmla="*/ T44 w 227"/>
                  <a:gd name="T46" fmla="+- 0 -44 -45"/>
                  <a:gd name="T47" fmla="*/ -44 h 250"/>
                  <a:gd name="T48" fmla="+- 0 15600 15469"/>
                  <a:gd name="T49" fmla="*/ T48 w 227"/>
                  <a:gd name="T50" fmla="+- 0 -45 -45"/>
                  <a:gd name="T51" fmla="*/ -45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27" h="250">
                    <a:moveTo>
                      <a:pt x="131" y="0"/>
                    </a:moveTo>
                    <a:lnTo>
                      <a:pt x="52" y="14"/>
                    </a:lnTo>
                    <a:lnTo>
                      <a:pt x="44" y="63"/>
                    </a:lnTo>
                    <a:lnTo>
                      <a:pt x="59" y="57"/>
                    </a:lnTo>
                    <a:lnTo>
                      <a:pt x="76" y="52"/>
                    </a:lnTo>
                    <a:lnTo>
                      <a:pt x="94" y="49"/>
                    </a:lnTo>
                    <a:lnTo>
                      <a:pt x="116" y="47"/>
                    </a:lnTo>
                    <a:lnTo>
                      <a:pt x="223" y="47"/>
                    </a:lnTo>
                    <a:lnTo>
                      <a:pt x="213" y="29"/>
                    </a:lnTo>
                    <a:lnTo>
                      <a:pt x="197" y="15"/>
                    </a:lnTo>
                    <a:lnTo>
                      <a:pt x="178" y="6"/>
                    </a:lnTo>
                    <a:lnTo>
                      <a:pt x="156" y="1"/>
                    </a:lnTo>
                    <a:lnTo>
                      <a:pt x="13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5" name="Group 54">
              <a:extLst>
                <a:ext uri="{FF2B5EF4-FFF2-40B4-BE49-F238E27FC236}">
                  <a16:creationId xmlns:a16="http://schemas.microsoft.com/office/drawing/2014/main" id="{00000000-0008-0000-1800-000037000000}"/>
                </a:ext>
              </a:extLst>
            </xdr:cNvPr>
            <xdr:cNvGrpSpPr>
              <a:grpSpLocks/>
            </xdr:cNvGrpSpPr>
          </xdr:nvGrpSpPr>
          <xdr:grpSpPr bwMode="auto">
            <a:xfrm>
              <a:off x="15727" y="-44"/>
              <a:ext cx="254" cy="244"/>
              <a:chOff x="15727" y="-44"/>
              <a:chExt cx="254" cy="244"/>
            </a:xfrm>
          </xdr:grpSpPr>
          <xdr:sp macro="" textlink="">
            <xdr:nvSpPr>
              <xdr:cNvPr id="61" name="Freeform 60">
                <a:extLst>
                  <a:ext uri="{FF2B5EF4-FFF2-40B4-BE49-F238E27FC236}">
                    <a16:creationId xmlns:a16="http://schemas.microsoft.com/office/drawing/2014/main" id="{00000000-0008-0000-1800-00003D000000}"/>
                  </a:ext>
                </a:extLst>
              </xdr:cNvPr>
              <xdr:cNvSpPr>
                <a:spLocks/>
              </xdr:cNvSpPr>
            </xdr:nvSpPr>
            <xdr:spPr bwMode="auto">
              <a:xfrm>
                <a:off x="15727" y="-44"/>
                <a:ext cx="254" cy="244"/>
              </a:xfrm>
              <a:custGeom>
                <a:avLst/>
                <a:gdLst>
                  <a:gd name="T0" fmla="+- 0 15838 15727"/>
                  <a:gd name="T1" fmla="*/ T0 w 254"/>
                  <a:gd name="T2" fmla="+- 0 -40 -44"/>
                  <a:gd name="T3" fmla="*/ -40 h 244"/>
                  <a:gd name="T4" fmla="+- 0 15777 15727"/>
                  <a:gd name="T5" fmla="*/ T4 w 254"/>
                  <a:gd name="T6" fmla="+- 0 -40 -44"/>
                  <a:gd name="T7" fmla="*/ -40 h 244"/>
                  <a:gd name="T8" fmla="+- 0 15776 15727"/>
                  <a:gd name="T9" fmla="*/ T8 w 254"/>
                  <a:gd name="T10" fmla="+- 0 -32 -44"/>
                  <a:gd name="T11" fmla="*/ -32 h 244"/>
                  <a:gd name="T12" fmla="+- 0 15774 15727"/>
                  <a:gd name="T13" fmla="*/ T12 w 254"/>
                  <a:gd name="T14" fmla="+- 0 -20 -44"/>
                  <a:gd name="T15" fmla="*/ -20 h 244"/>
                  <a:gd name="T16" fmla="+- 0 15771 15727"/>
                  <a:gd name="T17" fmla="*/ T16 w 254"/>
                  <a:gd name="T18" fmla="+- 0 -5 -44"/>
                  <a:gd name="T19" fmla="*/ -5 h 244"/>
                  <a:gd name="T20" fmla="+- 0 15727 15727"/>
                  <a:gd name="T21" fmla="*/ T20 w 254"/>
                  <a:gd name="T22" fmla="+- 0 200 -44"/>
                  <a:gd name="T23" fmla="*/ 200 h 244"/>
                  <a:gd name="T24" fmla="+- 0 15789 15727"/>
                  <a:gd name="T25" fmla="*/ T24 w 254"/>
                  <a:gd name="T26" fmla="+- 0 200 -44"/>
                  <a:gd name="T27" fmla="*/ 200 h 244"/>
                  <a:gd name="T28" fmla="+- 0 15818 15727"/>
                  <a:gd name="T29" fmla="*/ T28 w 254"/>
                  <a:gd name="T30" fmla="+- 0 65 -44"/>
                  <a:gd name="T31" fmla="*/ 65 h 244"/>
                  <a:gd name="T32" fmla="+- 0 15871 15727"/>
                  <a:gd name="T33" fmla="*/ T32 w 254"/>
                  <a:gd name="T34" fmla="+- 0 8 -44"/>
                  <a:gd name="T35" fmla="*/ 8 h 244"/>
                  <a:gd name="T36" fmla="+- 0 15898 15727"/>
                  <a:gd name="T37" fmla="*/ T36 w 254"/>
                  <a:gd name="T38" fmla="+- 0 6 -44"/>
                  <a:gd name="T39" fmla="*/ 6 h 244"/>
                  <a:gd name="T40" fmla="+- 0 15977 15727"/>
                  <a:gd name="T41" fmla="*/ T40 w 254"/>
                  <a:gd name="T42" fmla="+- 0 6 -44"/>
                  <a:gd name="T43" fmla="*/ 6 h 244"/>
                  <a:gd name="T44" fmla="+- 0 15970 15727"/>
                  <a:gd name="T45" fmla="*/ T44 w 254"/>
                  <a:gd name="T46" fmla="+- 0 -10 -44"/>
                  <a:gd name="T47" fmla="*/ -10 h 244"/>
                  <a:gd name="T48" fmla="+- 0 15965 15727"/>
                  <a:gd name="T49" fmla="*/ T48 w 254"/>
                  <a:gd name="T50" fmla="+- 0 -17 -44"/>
                  <a:gd name="T51" fmla="*/ -17 h 244"/>
                  <a:gd name="T52" fmla="+- 0 15834 15727"/>
                  <a:gd name="T53" fmla="*/ T52 w 254"/>
                  <a:gd name="T54" fmla="+- 0 -17 -44"/>
                  <a:gd name="T55" fmla="*/ -17 h 244"/>
                  <a:gd name="T56" fmla="+- 0 15838 15727"/>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4" y="52"/>
                    </a:lnTo>
                    <a:lnTo>
                      <a:pt x="171" y="50"/>
                    </a:lnTo>
                    <a:lnTo>
                      <a:pt x="250" y="50"/>
                    </a:lnTo>
                    <a:lnTo>
                      <a:pt x="243" y="34"/>
                    </a:lnTo>
                    <a:lnTo>
                      <a:pt x="238"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2" name="Freeform 61">
                <a:extLst>
                  <a:ext uri="{FF2B5EF4-FFF2-40B4-BE49-F238E27FC236}">
                    <a16:creationId xmlns:a16="http://schemas.microsoft.com/office/drawing/2014/main" id="{00000000-0008-0000-1800-00003E000000}"/>
                  </a:ext>
                </a:extLst>
              </xdr:cNvPr>
              <xdr:cNvSpPr>
                <a:spLocks/>
              </xdr:cNvSpPr>
            </xdr:nvSpPr>
            <xdr:spPr bwMode="auto">
              <a:xfrm>
                <a:off x="15727" y="-44"/>
                <a:ext cx="254" cy="244"/>
              </a:xfrm>
              <a:custGeom>
                <a:avLst/>
                <a:gdLst>
                  <a:gd name="T0" fmla="+- 0 15977 15727"/>
                  <a:gd name="T1" fmla="*/ T0 w 254"/>
                  <a:gd name="T2" fmla="+- 0 6 -44"/>
                  <a:gd name="T3" fmla="*/ 6 h 244"/>
                  <a:gd name="T4" fmla="+- 0 15898 15727"/>
                  <a:gd name="T5" fmla="*/ T4 w 254"/>
                  <a:gd name="T6" fmla="+- 0 6 -44"/>
                  <a:gd name="T7" fmla="*/ 6 h 244"/>
                  <a:gd name="T8" fmla="+- 0 15911 15727"/>
                  <a:gd name="T9" fmla="*/ T8 w 254"/>
                  <a:gd name="T10" fmla="+- 0 21 -44"/>
                  <a:gd name="T11" fmla="*/ 21 h 244"/>
                  <a:gd name="T12" fmla="+- 0 15915 15727"/>
                  <a:gd name="T13" fmla="*/ T12 w 254"/>
                  <a:gd name="T14" fmla="+- 0 47 -44"/>
                  <a:gd name="T15" fmla="*/ 47 h 244"/>
                  <a:gd name="T16" fmla="+- 0 15913 15727"/>
                  <a:gd name="T17" fmla="*/ T16 w 254"/>
                  <a:gd name="T18" fmla="+- 0 67 -44"/>
                  <a:gd name="T19" fmla="*/ 67 h 244"/>
                  <a:gd name="T20" fmla="+- 0 15909 15727"/>
                  <a:gd name="T21" fmla="*/ T20 w 254"/>
                  <a:gd name="T22" fmla="+- 0 87 -44"/>
                  <a:gd name="T23" fmla="*/ 87 h 244"/>
                  <a:gd name="T24" fmla="+- 0 15886 15727"/>
                  <a:gd name="T25" fmla="*/ T24 w 254"/>
                  <a:gd name="T26" fmla="+- 0 200 -44"/>
                  <a:gd name="T27" fmla="*/ 200 h 244"/>
                  <a:gd name="T28" fmla="+- 0 15948 15727"/>
                  <a:gd name="T29" fmla="*/ T28 w 254"/>
                  <a:gd name="T30" fmla="+- 0 200 -44"/>
                  <a:gd name="T31" fmla="*/ 200 h 244"/>
                  <a:gd name="T32" fmla="+- 0 15976 15727"/>
                  <a:gd name="T33" fmla="*/ T32 w 254"/>
                  <a:gd name="T34" fmla="+- 0 71 -44"/>
                  <a:gd name="T35" fmla="*/ 71 h 244"/>
                  <a:gd name="T36" fmla="+- 0 15979 15727"/>
                  <a:gd name="T37" fmla="*/ T36 w 254"/>
                  <a:gd name="T38" fmla="+- 0 51 -44"/>
                  <a:gd name="T39" fmla="*/ 51 h 244"/>
                  <a:gd name="T40" fmla="+- 0 15981 15727"/>
                  <a:gd name="T41" fmla="*/ T40 w 254"/>
                  <a:gd name="T42" fmla="+- 0 30 -44"/>
                  <a:gd name="T43" fmla="*/ 30 h 244"/>
                  <a:gd name="T44" fmla="+- 0 15978 15727"/>
                  <a:gd name="T45" fmla="*/ T44 w 254"/>
                  <a:gd name="T46" fmla="+- 0 8 -44"/>
                  <a:gd name="T47" fmla="*/ 8 h 244"/>
                  <a:gd name="T48" fmla="+- 0 15977 15727"/>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1" y="50"/>
                    </a:lnTo>
                    <a:lnTo>
                      <a:pt x="184" y="65"/>
                    </a:lnTo>
                    <a:lnTo>
                      <a:pt x="188" y="91"/>
                    </a:lnTo>
                    <a:lnTo>
                      <a:pt x="186" y="111"/>
                    </a:lnTo>
                    <a:lnTo>
                      <a:pt x="182" y="131"/>
                    </a:lnTo>
                    <a:lnTo>
                      <a:pt x="159" y="244"/>
                    </a:lnTo>
                    <a:lnTo>
                      <a:pt x="221" y="244"/>
                    </a:lnTo>
                    <a:lnTo>
                      <a:pt x="249"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3" name="Freeform 62">
                <a:extLst>
                  <a:ext uri="{FF2B5EF4-FFF2-40B4-BE49-F238E27FC236}">
                    <a16:creationId xmlns:a16="http://schemas.microsoft.com/office/drawing/2014/main" id="{00000000-0008-0000-1800-00003F000000}"/>
                  </a:ext>
                </a:extLst>
              </xdr:cNvPr>
              <xdr:cNvSpPr>
                <a:spLocks/>
              </xdr:cNvSpPr>
            </xdr:nvSpPr>
            <xdr:spPr bwMode="auto">
              <a:xfrm>
                <a:off x="15727" y="-44"/>
                <a:ext cx="254" cy="244"/>
              </a:xfrm>
              <a:custGeom>
                <a:avLst/>
                <a:gdLst>
                  <a:gd name="T0" fmla="+- 0 15888 15727"/>
                  <a:gd name="T1" fmla="*/ T0 w 254"/>
                  <a:gd name="T2" fmla="+- 0 -44 -44"/>
                  <a:gd name="T3" fmla="*/ -44 h 244"/>
                  <a:gd name="T4" fmla="+- 0 15868 15727"/>
                  <a:gd name="T5" fmla="*/ T4 w 254"/>
                  <a:gd name="T6" fmla="+- 0 -38 -44"/>
                  <a:gd name="T7" fmla="*/ -38 h 244"/>
                  <a:gd name="T8" fmla="+- 0 15850 15727"/>
                  <a:gd name="T9" fmla="*/ T8 w 254"/>
                  <a:gd name="T10" fmla="+- 0 -29 -44"/>
                  <a:gd name="T11" fmla="*/ -29 h 244"/>
                  <a:gd name="T12" fmla="+- 0 15835 15727"/>
                  <a:gd name="T13" fmla="*/ T12 w 254"/>
                  <a:gd name="T14" fmla="+- 0 -17 -44"/>
                  <a:gd name="T15" fmla="*/ -17 h 244"/>
                  <a:gd name="T16" fmla="+- 0 15965 15727"/>
                  <a:gd name="T17" fmla="*/ T16 w 254"/>
                  <a:gd name="T18" fmla="+- 0 -17 -44"/>
                  <a:gd name="T19" fmla="*/ -17 h 244"/>
                  <a:gd name="T20" fmla="+- 0 15957 15727"/>
                  <a:gd name="T21" fmla="*/ T20 w 254"/>
                  <a:gd name="T22" fmla="+- 0 -25 -44"/>
                  <a:gd name="T23" fmla="*/ -25 h 244"/>
                  <a:gd name="T24" fmla="+- 0 15939 15727"/>
                  <a:gd name="T25" fmla="*/ T24 w 254"/>
                  <a:gd name="T26" fmla="+- 0 -36 -44"/>
                  <a:gd name="T27" fmla="*/ -36 h 244"/>
                  <a:gd name="T28" fmla="+- 0 15916 15727"/>
                  <a:gd name="T29" fmla="*/ T28 w 254"/>
                  <a:gd name="T30" fmla="+- 0 -42 -44"/>
                  <a:gd name="T31" fmla="*/ -42 h 244"/>
                  <a:gd name="T32" fmla="+- 0 15888 15727"/>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8"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6" name="Group 55">
              <a:extLst>
                <a:ext uri="{FF2B5EF4-FFF2-40B4-BE49-F238E27FC236}">
                  <a16:creationId xmlns:a16="http://schemas.microsoft.com/office/drawing/2014/main" id="{00000000-0008-0000-1800-000038000000}"/>
                </a:ext>
              </a:extLst>
            </xdr:cNvPr>
            <xdr:cNvGrpSpPr>
              <a:grpSpLocks/>
            </xdr:cNvGrpSpPr>
          </xdr:nvGrpSpPr>
          <xdr:grpSpPr bwMode="auto">
            <a:xfrm>
              <a:off x="16022" y="-149"/>
              <a:ext cx="286" cy="354"/>
              <a:chOff x="16022" y="-149"/>
              <a:chExt cx="286" cy="354"/>
            </a:xfrm>
          </xdr:grpSpPr>
          <xdr:sp macro="" textlink="">
            <xdr:nvSpPr>
              <xdr:cNvPr id="57" name="Freeform 56">
                <a:extLst>
                  <a:ext uri="{FF2B5EF4-FFF2-40B4-BE49-F238E27FC236}">
                    <a16:creationId xmlns:a16="http://schemas.microsoft.com/office/drawing/2014/main" id="{00000000-0008-0000-1800-000039000000}"/>
                  </a:ext>
                </a:extLst>
              </xdr:cNvPr>
              <xdr:cNvSpPr>
                <a:spLocks/>
              </xdr:cNvSpPr>
            </xdr:nvSpPr>
            <xdr:spPr bwMode="auto">
              <a:xfrm>
                <a:off x="16022" y="-149"/>
                <a:ext cx="286" cy="354"/>
              </a:xfrm>
              <a:custGeom>
                <a:avLst/>
                <a:gdLst>
                  <a:gd name="T0" fmla="+- 0 16131 16022"/>
                  <a:gd name="T1" fmla="*/ T0 w 286"/>
                  <a:gd name="T2" fmla="+- 0 -45 -149"/>
                  <a:gd name="T3" fmla="*/ -45 h 354"/>
                  <a:gd name="T4" fmla="+- 0 16074 16022"/>
                  <a:gd name="T5" fmla="*/ T4 w 286"/>
                  <a:gd name="T6" fmla="+- 0 -22 -149"/>
                  <a:gd name="T7" fmla="*/ -22 h 354"/>
                  <a:gd name="T8" fmla="+- 0 16038 16022"/>
                  <a:gd name="T9" fmla="*/ T8 w 286"/>
                  <a:gd name="T10" fmla="+- 0 29 -149"/>
                  <a:gd name="T11" fmla="*/ 29 h 354"/>
                  <a:gd name="T12" fmla="+- 0 16022 16022"/>
                  <a:gd name="T13" fmla="*/ T12 w 286"/>
                  <a:gd name="T14" fmla="+- 0 98 -149"/>
                  <a:gd name="T15" fmla="*/ 98 h 354"/>
                  <a:gd name="T16" fmla="+- 0 16022 16022"/>
                  <a:gd name="T17" fmla="*/ T16 w 286"/>
                  <a:gd name="T18" fmla="+- 0 124 -149"/>
                  <a:gd name="T19" fmla="*/ 124 h 354"/>
                  <a:gd name="T20" fmla="+- 0 16026 16022"/>
                  <a:gd name="T21" fmla="*/ T20 w 286"/>
                  <a:gd name="T22" fmla="+- 0 145 -149"/>
                  <a:gd name="T23" fmla="*/ 145 h 354"/>
                  <a:gd name="T24" fmla="+- 0 16064 16022"/>
                  <a:gd name="T25" fmla="*/ T24 w 286"/>
                  <a:gd name="T26" fmla="+- 0 194 -149"/>
                  <a:gd name="T27" fmla="*/ 194 h 354"/>
                  <a:gd name="T28" fmla="+- 0 16113 16022"/>
                  <a:gd name="T29" fmla="*/ T28 w 286"/>
                  <a:gd name="T30" fmla="+- 0 205 -149"/>
                  <a:gd name="T31" fmla="*/ 205 h 354"/>
                  <a:gd name="T32" fmla="+- 0 16134 16022"/>
                  <a:gd name="T33" fmla="*/ T32 w 286"/>
                  <a:gd name="T34" fmla="+- 0 201 -149"/>
                  <a:gd name="T35" fmla="*/ 201 h 354"/>
                  <a:gd name="T36" fmla="+- 0 16152 16022"/>
                  <a:gd name="T37" fmla="*/ T36 w 286"/>
                  <a:gd name="T38" fmla="+- 0 193 -149"/>
                  <a:gd name="T39" fmla="*/ 193 h 354"/>
                  <a:gd name="T40" fmla="+- 0 16168 16022"/>
                  <a:gd name="T41" fmla="*/ T40 w 286"/>
                  <a:gd name="T42" fmla="+- 0 180 -149"/>
                  <a:gd name="T43" fmla="*/ 180 h 354"/>
                  <a:gd name="T44" fmla="+- 0 16181 16022"/>
                  <a:gd name="T45" fmla="*/ T44 w 286"/>
                  <a:gd name="T46" fmla="+- 0 164 -149"/>
                  <a:gd name="T47" fmla="*/ 164 h 354"/>
                  <a:gd name="T48" fmla="+- 0 16240 16022"/>
                  <a:gd name="T49" fmla="*/ T48 w 286"/>
                  <a:gd name="T50" fmla="+- 0 164 -149"/>
                  <a:gd name="T51" fmla="*/ 164 h 354"/>
                  <a:gd name="T52" fmla="+- 0 16241 16022"/>
                  <a:gd name="T53" fmla="*/ T52 w 286"/>
                  <a:gd name="T54" fmla="+- 0 156 -149"/>
                  <a:gd name="T55" fmla="*/ 156 h 354"/>
                  <a:gd name="T56" fmla="+- 0 16113 16022"/>
                  <a:gd name="T57" fmla="*/ T56 w 286"/>
                  <a:gd name="T58" fmla="+- 0 156 -149"/>
                  <a:gd name="T59" fmla="*/ 156 h 354"/>
                  <a:gd name="T60" fmla="+- 0 16096 16022"/>
                  <a:gd name="T61" fmla="*/ T60 w 286"/>
                  <a:gd name="T62" fmla="+- 0 143 -149"/>
                  <a:gd name="T63" fmla="*/ 143 h 354"/>
                  <a:gd name="T64" fmla="+- 0 16088 16022"/>
                  <a:gd name="T65" fmla="*/ T64 w 286"/>
                  <a:gd name="T66" fmla="+- 0 122 -149"/>
                  <a:gd name="T67" fmla="*/ 122 h 354"/>
                  <a:gd name="T68" fmla="+- 0 16086 16022"/>
                  <a:gd name="T69" fmla="*/ T68 w 286"/>
                  <a:gd name="T70" fmla="+- 0 100 -149"/>
                  <a:gd name="T71" fmla="*/ 100 h 354"/>
                  <a:gd name="T72" fmla="+- 0 16087 16022"/>
                  <a:gd name="T73" fmla="*/ T72 w 286"/>
                  <a:gd name="T74" fmla="+- 0 83 -149"/>
                  <a:gd name="T75" fmla="*/ 83 h 354"/>
                  <a:gd name="T76" fmla="+- 0 16114 16022"/>
                  <a:gd name="T77" fmla="*/ T76 w 286"/>
                  <a:gd name="T78" fmla="+- 0 21 -149"/>
                  <a:gd name="T79" fmla="*/ 21 h 354"/>
                  <a:gd name="T80" fmla="+- 0 16151 16022"/>
                  <a:gd name="T81" fmla="*/ T80 w 286"/>
                  <a:gd name="T82" fmla="+- 0 3 -149"/>
                  <a:gd name="T83" fmla="*/ 3 h 354"/>
                  <a:gd name="T84" fmla="+- 0 16274 16022"/>
                  <a:gd name="T85" fmla="*/ T84 w 286"/>
                  <a:gd name="T86" fmla="+- 0 3 -149"/>
                  <a:gd name="T87" fmla="*/ 3 h 354"/>
                  <a:gd name="T88" fmla="+- 0 16279 16022"/>
                  <a:gd name="T89" fmla="*/ T88 w 286"/>
                  <a:gd name="T90" fmla="+- 0 -19 -149"/>
                  <a:gd name="T91" fmla="*/ -19 h 354"/>
                  <a:gd name="T92" fmla="+- 0 16208 16022"/>
                  <a:gd name="T93" fmla="*/ T92 w 286"/>
                  <a:gd name="T94" fmla="+- 0 -19 -149"/>
                  <a:gd name="T95" fmla="*/ -19 h 354"/>
                  <a:gd name="T96" fmla="+- 0 16193 16022"/>
                  <a:gd name="T97" fmla="*/ T96 w 286"/>
                  <a:gd name="T98" fmla="+- 0 -30 -149"/>
                  <a:gd name="T99" fmla="*/ -30 h 354"/>
                  <a:gd name="T100" fmla="+- 0 16176 16022"/>
                  <a:gd name="T101" fmla="*/ T100 w 286"/>
                  <a:gd name="T102" fmla="+- 0 -39 -149"/>
                  <a:gd name="T103" fmla="*/ -39 h 354"/>
                  <a:gd name="T104" fmla="+- 0 16156 16022"/>
                  <a:gd name="T105" fmla="*/ T104 w 286"/>
                  <a:gd name="T106" fmla="+- 0 -44 -149"/>
                  <a:gd name="T107" fmla="*/ -44 h 354"/>
                  <a:gd name="T108" fmla="+- 0 16131 16022"/>
                  <a:gd name="T109" fmla="*/ T108 w 286"/>
                  <a:gd name="T110" fmla="+- 0 -45 -149"/>
                  <a:gd name="T111" fmla="*/ -45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286" h="354">
                    <a:moveTo>
                      <a:pt x="109" y="104"/>
                    </a:moveTo>
                    <a:lnTo>
                      <a:pt x="52" y="127"/>
                    </a:lnTo>
                    <a:lnTo>
                      <a:pt x="16" y="178"/>
                    </a:lnTo>
                    <a:lnTo>
                      <a:pt x="0" y="247"/>
                    </a:lnTo>
                    <a:lnTo>
                      <a:pt x="0" y="273"/>
                    </a:lnTo>
                    <a:lnTo>
                      <a:pt x="4" y="294"/>
                    </a:lnTo>
                    <a:lnTo>
                      <a:pt x="42" y="343"/>
                    </a:lnTo>
                    <a:lnTo>
                      <a:pt x="91" y="354"/>
                    </a:lnTo>
                    <a:lnTo>
                      <a:pt x="112" y="350"/>
                    </a:lnTo>
                    <a:lnTo>
                      <a:pt x="130" y="342"/>
                    </a:lnTo>
                    <a:lnTo>
                      <a:pt x="146" y="329"/>
                    </a:lnTo>
                    <a:lnTo>
                      <a:pt x="159" y="313"/>
                    </a:lnTo>
                    <a:lnTo>
                      <a:pt x="218" y="313"/>
                    </a:lnTo>
                    <a:lnTo>
                      <a:pt x="219" y="305"/>
                    </a:lnTo>
                    <a:lnTo>
                      <a:pt x="91" y="305"/>
                    </a:lnTo>
                    <a:lnTo>
                      <a:pt x="74" y="292"/>
                    </a:lnTo>
                    <a:lnTo>
                      <a:pt x="66" y="271"/>
                    </a:lnTo>
                    <a:lnTo>
                      <a:pt x="64" y="249"/>
                    </a:lnTo>
                    <a:lnTo>
                      <a:pt x="65" y="232"/>
                    </a:lnTo>
                    <a:lnTo>
                      <a:pt x="92" y="170"/>
                    </a:lnTo>
                    <a:lnTo>
                      <a:pt x="129" y="152"/>
                    </a:lnTo>
                    <a:lnTo>
                      <a:pt x="252" y="152"/>
                    </a:lnTo>
                    <a:lnTo>
                      <a:pt x="257" y="130"/>
                    </a:lnTo>
                    <a:lnTo>
                      <a:pt x="186" y="130"/>
                    </a:lnTo>
                    <a:lnTo>
                      <a:pt x="171" y="119"/>
                    </a:lnTo>
                    <a:lnTo>
                      <a:pt x="154" y="110"/>
                    </a:lnTo>
                    <a:lnTo>
                      <a:pt x="134" y="105"/>
                    </a:lnTo>
                    <a:lnTo>
                      <a:pt x="109" y="10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8" name="Freeform 57">
                <a:extLst>
                  <a:ext uri="{FF2B5EF4-FFF2-40B4-BE49-F238E27FC236}">
                    <a16:creationId xmlns:a16="http://schemas.microsoft.com/office/drawing/2014/main" id="{00000000-0008-0000-1800-00003A000000}"/>
                  </a:ext>
                </a:extLst>
              </xdr:cNvPr>
              <xdr:cNvSpPr>
                <a:spLocks/>
              </xdr:cNvSpPr>
            </xdr:nvSpPr>
            <xdr:spPr bwMode="auto">
              <a:xfrm>
                <a:off x="16022" y="-149"/>
                <a:ext cx="286" cy="354"/>
              </a:xfrm>
              <a:custGeom>
                <a:avLst/>
                <a:gdLst>
                  <a:gd name="T0" fmla="+- 0 16240 16022"/>
                  <a:gd name="T1" fmla="*/ T0 w 286"/>
                  <a:gd name="T2" fmla="+- 0 164 -149"/>
                  <a:gd name="T3" fmla="*/ 164 h 354"/>
                  <a:gd name="T4" fmla="+- 0 16182 16022"/>
                  <a:gd name="T5" fmla="*/ T4 w 286"/>
                  <a:gd name="T6" fmla="+- 0 164 -149"/>
                  <a:gd name="T7" fmla="*/ 164 h 354"/>
                  <a:gd name="T8" fmla="+- 0 16176 16022"/>
                  <a:gd name="T9" fmla="*/ T8 w 286"/>
                  <a:gd name="T10" fmla="+- 0 200 -149"/>
                  <a:gd name="T11" fmla="*/ 200 h 354"/>
                  <a:gd name="T12" fmla="+- 0 16236 16022"/>
                  <a:gd name="T13" fmla="*/ T12 w 286"/>
                  <a:gd name="T14" fmla="+- 0 189 -149"/>
                  <a:gd name="T15" fmla="*/ 189 h 354"/>
                  <a:gd name="T16" fmla="+- 0 16239 16022"/>
                  <a:gd name="T17" fmla="*/ T16 w 286"/>
                  <a:gd name="T18" fmla="+- 0 169 -149"/>
                  <a:gd name="T19" fmla="*/ 169 h 354"/>
                  <a:gd name="T20" fmla="+- 0 16240 16022"/>
                  <a:gd name="T21" fmla="*/ T20 w 286"/>
                  <a:gd name="T22" fmla="+- 0 164 -149"/>
                  <a:gd name="T23" fmla="*/ 164 h 354"/>
                </a:gdLst>
                <a:ahLst/>
                <a:cxnLst>
                  <a:cxn ang="0">
                    <a:pos x="T1" y="T3"/>
                  </a:cxn>
                  <a:cxn ang="0">
                    <a:pos x="T5" y="T7"/>
                  </a:cxn>
                  <a:cxn ang="0">
                    <a:pos x="T9" y="T11"/>
                  </a:cxn>
                  <a:cxn ang="0">
                    <a:pos x="T13" y="T15"/>
                  </a:cxn>
                  <a:cxn ang="0">
                    <a:pos x="T17" y="T19"/>
                  </a:cxn>
                  <a:cxn ang="0">
                    <a:pos x="T21" y="T23"/>
                  </a:cxn>
                </a:cxnLst>
                <a:rect l="0" t="0" r="r" b="b"/>
                <a:pathLst>
                  <a:path w="286" h="354">
                    <a:moveTo>
                      <a:pt x="218" y="313"/>
                    </a:moveTo>
                    <a:lnTo>
                      <a:pt x="160" y="313"/>
                    </a:lnTo>
                    <a:lnTo>
                      <a:pt x="154" y="349"/>
                    </a:lnTo>
                    <a:lnTo>
                      <a:pt x="214" y="338"/>
                    </a:lnTo>
                    <a:lnTo>
                      <a:pt x="217" y="318"/>
                    </a:lnTo>
                    <a:lnTo>
                      <a:pt x="218" y="313"/>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58">
                <a:extLst>
                  <a:ext uri="{FF2B5EF4-FFF2-40B4-BE49-F238E27FC236}">
                    <a16:creationId xmlns:a16="http://schemas.microsoft.com/office/drawing/2014/main" id="{00000000-0008-0000-1800-00003B000000}"/>
                  </a:ext>
                </a:extLst>
              </xdr:cNvPr>
              <xdr:cNvSpPr>
                <a:spLocks/>
              </xdr:cNvSpPr>
            </xdr:nvSpPr>
            <xdr:spPr bwMode="auto">
              <a:xfrm>
                <a:off x="16022" y="-149"/>
                <a:ext cx="286" cy="354"/>
              </a:xfrm>
              <a:custGeom>
                <a:avLst/>
                <a:gdLst>
                  <a:gd name="T0" fmla="+- 0 16274 16022"/>
                  <a:gd name="T1" fmla="*/ T0 w 286"/>
                  <a:gd name="T2" fmla="+- 0 3 -149"/>
                  <a:gd name="T3" fmla="*/ 3 h 354"/>
                  <a:gd name="T4" fmla="+- 0 16151 16022"/>
                  <a:gd name="T5" fmla="*/ T4 w 286"/>
                  <a:gd name="T6" fmla="+- 0 3 -149"/>
                  <a:gd name="T7" fmla="*/ 3 h 354"/>
                  <a:gd name="T8" fmla="+- 0 16172 16022"/>
                  <a:gd name="T9" fmla="*/ T8 w 286"/>
                  <a:gd name="T10" fmla="+- 0 8 -149"/>
                  <a:gd name="T11" fmla="*/ 8 h 354"/>
                  <a:gd name="T12" fmla="+- 0 16186 16022"/>
                  <a:gd name="T13" fmla="*/ T12 w 286"/>
                  <a:gd name="T14" fmla="+- 0 22 -149"/>
                  <a:gd name="T15" fmla="*/ 22 h 354"/>
                  <a:gd name="T16" fmla="+- 0 16194 16022"/>
                  <a:gd name="T17" fmla="*/ T16 w 286"/>
                  <a:gd name="T18" fmla="+- 0 43 -149"/>
                  <a:gd name="T19" fmla="*/ 43 h 354"/>
                  <a:gd name="T20" fmla="+- 0 16196 16022"/>
                  <a:gd name="T21" fmla="*/ T20 w 286"/>
                  <a:gd name="T22" fmla="+- 0 69 -149"/>
                  <a:gd name="T23" fmla="*/ 69 h 354"/>
                  <a:gd name="T24" fmla="+- 0 16192 16022"/>
                  <a:gd name="T25" fmla="*/ T24 w 286"/>
                  <a:gd name="T26" fmla="+- 0 90 -149"/>
                  <a:gd name="T27" fmla="*/ 90 h 354"/>
                  <a:gd name="T28" fmla="+- 0 16157 16022"/>
                  <a:gd name="T29" fmla="*/ T28 w 286"/>
                  <a:gd name="T30" fmla="+- 0 143 -149"/>
                  <a:gd name="T31" fmla="*/ 143 h 354"/>
                  <a:gd name="T32" fmla="+- 0 16113 16022"/>
                  <a:gd name="T33" fmla="*/ T32 w 286"/>
                  <a:gd name="T34" fmla="+- 0 156 -149"/>
                  <a:gd name="T35" fmla="*/ 156 h 354"/>
                  <a:gd name="T36" fmla="+- 0 16241 16022"/>
                  <a:gd name="T37" fmla="*/ T36 w 286"/>
                  <a:gd name="T38" fmla="+- 0 156 -149"/>
                  <a:gd name="T39" fmla="*/ 156 h 354"/>
                  <a:gd name="T40" fmla="+- 0 16243 16022"/>
                  <a:gd name="T41" fmla="*/ T40 w 286"/>
                  <a:gd name="T42" fmla="+- 0 147 -149"/>
                  <a:gd name="T43" fmla="*/ 147 h 354"/>
                  <a:gd name="T44" fmla="+- 0 16274 16022"/>
                  <a:gd name="T45" fmla="*/ T44 w 286"/>
                  <a:gd name="T46" fmla="+- 0 3 -149"/>
                  <a:gd name="T47" fmla="*/ 3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86" h="354">
                    <a:moveTo>
                      <a:pt x="252" y="152"/>
                    </a:moveTo>
                    <a:lnTo>
                      <a:pt x="129" y="152"/>
                    </a:lnTo>
                    <a:lnTo>
                      <a:pt x="150" y="157"/>
                    </a:lnTo>
                    <a:lnTo>
                      <a:pt x="164" y="171"/>
                    </a:lnTo>
                    <a:lnTo>
                      <a:pt x="172" y="192"/>
                    </a:lnTo>
                    <a:lnTo>
                      <a:pt x="174" y="218"/>
                    </a:lnTo>
                    <a:lnTo>
                      <a:pt x="170" y="239"/>
                    </a:lnTo>
                    <a:lnTo>
                      <a:pt x="135" y="292"/>
                    </a:lnTo>
                    <a:lnTo>
                      <a:pt x="91" y="305"/>
                    </a:lnTo>
                    <a:lnTo>
                      <a:pt x="219" y="305"/>
                    </a:lnTo>
                    <a:lnTo>
                      <a:pt x="221" y="296"/>
                    </a:lnTo>
                    <a:lnTo>
                      <a:pt x="252" y="152"/>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0" name="Freeform 59">
                <a:extLst>
                  <a:ext uri="{FF2B5EF4-FFF2-40B4-BE49-F238E27FC236}">
                    <a16:creationId xmlns:a16="http://schemas.microsoft.com/office/drawing/2014/main" id="{00000000-0008-0000-1800-00003C000000}"/>
                  </a:ext>
                </a:extLst>
              </xdr:cNvPr>
              <xdr:cNvSpPr>
                <a:spLocks/>
              </xdr:cNvSpPr>
            </xdr:nvSpPr>
            <xdr:spPr bwMode="auto">
              <a:xfrm>
                <a:off x="16022" y="-149"/>
                <a:ext cx="286" cy="354"/>
              </a:xfrm>
              <a:custGeom>
                <a:avLst/>
                <a:gdLst>
                  <a:gd name="T0" fmla="+- 0 16308 16022"/>
                  <a:gd name="T1" fmla="*/ T0 w 286"/>
                  <a:gd name="T2" fmla="+- 0 -149 -149"/>
                  <a:gd name="T3" fmla="*/ -149 h 354"/>
                  <a:gd name="T4" fmla="+- 0 16245 16022"/>
                  <a:gd name="T5" fmla="*/ T4 w 286"/>
                  <a:gd name="T6" fmla="+- 0 -149 -149"/>
                  <a:gd name="T7" fmla="*/ -149 h 354"/>
                  <a:gd name="T8" fmla="+- 0 16208 16022"/>
                  <a:gd name="T9" fmla="*/ T8 w 286"/>
                  <a:gd name="T10" fmla="+- 0 -19 -149"/>
                  <a:gd name="T11" fmla="*/ -19 h 354"/>
                  <a:gd name="T12" fmla="+- 0 16279 16022"/>
                  <a:gd name="T13" fmla="*/ T12 w 286"/>
                  <a:gd name="T14" fmla="+- 0 -19 -149"/>
                  <a:gd name="T15" fmla="*/ -19 h 354"/>
                  <a:gd name="T16" fmla="+- 0 16308 16022"/>
                  <a:gd name="T17" fmla="*/ T16 w 286"/>
                  <a:gd name="T18" fmla="+- 0 -149 -149"/>
                  <a:gd name="T19" fmla="*/ -149 h 354"/>
                </a:gdLst>
                <a:ahLst/>
                <a:cxnLst>
                  <a:cxn ang="0">
                    <a:pos x="T1" y="T3"/>
                  </a:cxn>
                  <a:cxn ang="0">
                    <a:pos x="T5" y="T7"/>
                  </a:cxn>
                  <a:cxn ang="0">
                    <a:pos x="T9" y="T11"/>
                  </a:cxn>
                  <a:cxn ang="0">
                    <a:pos x="T13" y="T15"/>
                  </a:cxn>
                  <a:cxn ang="0">
                    <a:pos x="T17" y="T19"/>
                  </a:cxn>
                </a:cxnLst>
                <a:rect l="0" t="0" r="r" b="b"/>
                <a:pathLst>
                  <a:path w="286" h="354">
                    <a:moveTo>
                      <a:pt x="286" y="0"/>
                    </a:moveTo>
                    <a:lnTo>
                      <a:pt x="223" y="0"/>
                    </a:lnTo>
                    <a:lnTo>
                      <a:pt x="186" y="130"/>
                    </a:lnTo>
                    <a:lnTo>
                      <a:pt x="257" y="130"/>
                    </a:lnTo>
                    <a:lnTo>
                      <a:pt x="28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4973100</xdr:colOff>
      <xdr:row>2</xdr:row>
      <xdr:rowOff>123000</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Template A Change</a:t>
          </a:r>
          <a:r>
            <a:rPr lang="en-GB" sz="1800" b="0" baseline="0">
              <a:solidFill>
                <a:schemeClr val="bg1"/>
              </a:solidFill>
              <a:latin typeface="Arial" panose="020B0604020202020204" pitchFamily="34" charset="0"/>
              <a:cs typeface="Arial" panose="020B0604020202020204" pitchFamily="34" charset="0"/>
            </a:rPr>
            <a:t> History</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877350</xdr:colOff>
      <xdr:row>3</xdr:row>
      <xdr:rowOff>47625</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0" y="0"/>
          <a:ext cx="684000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General Activities</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3</xdr:row>
      <xdr:rowOff>66672</xdr:rowOff>
    </xdr:from>
    <xdr:to>
      <xdr:col>4</xdr:col>
      <xdr:colOff>234043</xdr:colOff>
      <xdr:row>6</xdr:row>
      <xdr:rowOff>495300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0" y="523872"/>
          <a:ext cx="9029700" cy="1114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with site level</a:t>
          </a:r>
          <a:r>
            <a:rPr lang="en-GB" sz="1100" baseline="0">
              <a:latin typeface="Arial" panose="020B0604020202020204" pitchFamily="34" charset="0"/>
              <a:cs typeface="Arial" panose="020B0604020202020204" pitchFamily="34" charset="0"/>
            </a:rPr>
            <a:t> activities that are NOT undertaken on a per-patient basis (e.g. one-off set-up or close-down activities and similar)</a:t>
          </a:r>
          <a:r>
            <a:rPr lang="en-GB" sz="1100">
              <a:latin typeface="Arial" panose="020B0604020202020204" pitchFamily="34" charset="0"/>
              <a:cs typeface="Arial" panose="020B0604020202020204" pitchFamily="34" charset="0"/>
            </a:rPr>
            <a:t>.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endParaRPr lang="en-GB" sz="1100" u="sng" baseline="0">
            <a:solidFill>
              <a:schemeClr val="tx2"/>
            </a:solidFill>
            <a:latin typeface="Arial" panose="020B0604020202020204" pitchFamily="34" charset="0"/>
            <a:cs typeface="Arial" panose="020B0604020202020204" pitchFamily="34" charset="0"/>
          </a:endParaRPr>
        </a:p>
        <a:p>
          <a:r>
            <a:rPr lang="en-GB" sz="1100" u="none" baseline="0">
              <a:solidFill>
                <a:sysClr val="windowText" lastClr="000000"/>
              </a:solidFill>
              <a:latin typeface="Arial" panose="020B0604020202020204" pitchFamily="34" charset="0"/>
              <a:cs typeface="Arial" panose="020B0604020202020204" pitchFamily="34" charset="0"/>
            </a:rPr>
            <a:t>The IRAS Reference Number cell autopopulates and should not be manually over-written.</a:t>
          </a: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484950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0" y="0"/>
          <a:ext cx="6840000" cy="71355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a:t>
          </a:r>
        </a:p>
        <a:p>
          <a:pPr algn="ctr"/>
          <a:r>
            <a:rPr lang="en-GB" sz="1400" b="0">
              <a:solidFill>
                <a:schemeClr val="bg1"/>
              </a:solidFill>
              <a:effectLst/>
              <a:latin typeface="Arial" panose="020B0604020202020204" pitchFamily="34" charset="0"/>
              <a:ea typeface="+mn-ea"/>
              <a:cs typeface="Arial" panose="020B0604020202020204" pitchFamily="34" charset="0"/>
            </a:rPr>
            <a:t>This tab</a:t>
          </a:r>
          <a:r>
            <a:rPr lang="en-GB" sz="1400" b="0" baseline="0">
              <a:solidFill>
                <a:schemeClr val="bg1"/>
              </a:solidFill>
              <a:effectLst/>
              <a:latin typeface="Arial" panose="020B0604020202020204" pitchFamily="34" charset="0"/>
              <a:ea typeface="+mn-ea"/>
              <a:cs typeface="Arial" panose="020B0604020202020204" pitchFamily="34" charset="0"/>
            </a:rPr>
            <a:t> should be completed for ALL studies</a:t>
          </a:r>
          <a:endParaRPr lang="en-GB" sz="14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1</xdr:row>
      <xdr:rowOff>523873</xdr:rowOff>
    </xdr:from>
    <xdr:to>
      <xdr:col>4</xdr:col>
      <xdr:colOff>186417</xdr:colOff>
      <xdr:row>2</xdr:row>
      <xdr:rowOff>1019175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0" y="752473"/>
          <a:ext cx="8982074" cy="1628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site-level</a:t>
          </a:r>
          <a:r>
            <a:rPr lang="en-GB" sz="1100" baseline="0">
              <a:latin typeface="Arial" panose="020B0604020202020204" pitchFamily="34" charset="0"/>
              <a:cs typeface="Arial" panose="020B0604020202020204" pitchFamily="34" charset="0"/>
            </a:rPr>
            <a:t>, per participant activities</a:t>
          </a:r>
          <a:r>
            <a:rPr lang="en-GB" sz="1100">
              <a:latin typeface="Arial" panose="020B0604020202020204" pitchFamily="34" charset="0"/>
              <a:cs typeface="Arial" panose="020B0604020202020204" pitchFamily="34" charset="0"/>
            </a:rPr>
            <a:t>.  Where the study involves multiple arms, or the activities otherwise differ between groups of participants, one tab should be completed per arm.  If your project has more than 5 arms, please contact hra.appprovalprogramme@nhs.net for a bespoke template.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IRAS Reference Number cell autopopulates and should not be manually over-written.</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recruitment target for each arm should be manually entered into the Number of Participants cell.</a:t>
          </a:r>
        </a:p>
        <a:p>
          <a:pPr marL="0" marR="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(2)</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a:t>
          </a:r>
          <a:r>
            <a:rPr lang="en-GB" sz="1400" b="0" baseline="0">
              <a:solidFill>
                <a:schemeClr val="bg1"/>
              </a:solidFill>
              <a:effectLst/>
              <a:latin typeface="Arial" panose="020B0604020202020204" pitchFamily="34" charset="0"/>
              <a:cs typeface="Arial" panose="020B0604020202020204" pitchFamily="34" charset="0"/>
            </a:rPr>
            <a:t> for the second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(3)</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third</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744000</xdr:colOff>
      <xdr:row>1</xdr:row>
      <xdr:rowOff>491400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(4)</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fourth arm of studies</a:t>
          </a: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(6)</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sixth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4" name="tbl_Part_Act5" displayName="tbl_Part_Act5" ref="A14:AK114" totalsRowShown="0" headerRowDxfId="803" dataDxfId="802" tableBorderDxfId="801" dataCellStyle="Currency">
  <tableColumns count="37">
    <tableColumn id="1" name="Area of Activity_x000a_(Select this first)" dataDxfId="800"/>
    <tableColumn id="2" name="Specific Activity                                _x000a_(Drop down only present when Area of Activity selected first – if required option is not available please follow guidance in Non-tariff Costs tab)" dataDxfId="799"/>
    <tableColumn id="3" name="Duration_x000a_(Minutes)" dataDxfId="798"/>
    <tableColumn id="4" name="Undertaken by _x000a_(drop down only)" dataDxfId="797"/>
    <tableColumn id="38" name="Do not use" dataDxfId="796"/>
    <tableColumn id="5" name="Day -x to -y" dataDxfId="795"/>
    <tableColumn id="39" name="Day 0" dataDxfId="794"/>
    <tableColumn id="6" name="Column2" dataDxfId="793"/>
    <tableColumn id="7" name="Column3" dataDxfId="792"/>
    <tableColumn id="8" name="Column4" dataDxfId="791"/>
    <tableColumn id="9" name="Column5" dataDxfId="790"/>
    <tableColumn id="10" name="Column6" dataDxfId="789"/>
    <tableColumn id="11" name="Column7" dataDxfId="788"/>
    <tableColumn id="12" name="Column8" dataDxfId="787"/>
    <tableColumn id="13" name="Column9" dataDxfId="786"/>
    <tableColumn id="14" name="Column10" dataDxfId="785"/>
    <tableColumn id="15" name="Column11" dataDxfId="784"/>
    <tableColumn id="16" name="Column12" dataDxfId="783"/>
    <tableColumn id="17" name="Column13" dataDxfId="782"/>
    <tableColumn id="18" name="Column14" dataDxfId="781"/>
    <tableColumn id="19" name="Column15" dataDxfId="780"/>
    <tableColumn id="20" name="Column16" dataDxfId="779"/>
    <tableColumn id="21" name="Column17" dataDxfId="778"/>
    <tableColumn id="22" name="Column18" dataDxfId="777"/>
    <tableColumn id="23" name="Column19" dataDxfId="776"/>
    <tableColumn id="24" name="Column20" dataDxfId="775"/>
    <tableColumn id="25" name="Column21" dataDxfId="774"/>
    <tableColumn id="26" name="Column22" dataDxfId="773"/>
    <tableColumn id="27" name="Column23" dataDxfId="772"/>
    <tableColumn id="28" name="Column24" dataDxfId="771"/>
    <tableColumn id="29" name="Column25" dataDxfId="770"/>
    <tableColumn id="30" name="Column26" dataDxfId="769"/>
    <tableColumn id="32" name="Column27" dataDxfId="768"/>
    <tableColumn id="33" name="Any additional columns must be added to the left of this column." dataDxfId="767"/>
    <tableColumn id="34" name="Calculated Activity Cost" dataDxfId="766" dataCellStyle="Currency">
      <calculatedColumnFormula>IF(INDEX(TARIFF_TABLE[#All], MATCH($B15,TARIFF_TABLE[[#All],[Activity]],0),MATCH("ActivityType",TARIFF_TABLE[#Headers]))="Investigation",INDEX(TARIFF_TABLE[#All], MATCH($B15,TARIFF_TABLE[[#All],[Activity]],0),MATCH("Cost",TARIFF_TABLE[#Headers])),INDEX(Staff_Costs[#All],MATCH('Standard of Care'!D15,Staff_Costs[[#All],[Role]],0),MATCH("Per-minute cost",Staff_Costs[#Headers],0))*'Standard of Care'!C15)</calculatedColumnFormula>
    </tableColumn>
    <tableColumn id="35" name="Total cost per Activity" dataDxfId="765" dataCellStyle="Currency">
      <calculatedColumnFormula>COUNTIF($F15:$AG15, AJ$14)*$AI15</calculatedColumnFormula>
    </tableColumn>
    <tableColumn id="37" name="Activity Look Up - Procedure or Investigation (Hidden column)" dataDxfId="764" dataCellStyle="Currency">
      <calculatedColumnFormula>INDEX('Tariff (hidden)'!$B$4:$B$133,MATCH(B15,'Tariff (hidden)'!$A$4:$A$133,0))</calculatedColumnFormula>
    </tableColumn>
  </tableColumns>
  <tableStyleInfo name="Table Style 1" showFirstColumn="0" showLastColumn="0" showRowStripes="1" showColumnStripes="0"/>
</table>
</file>

<file path=xl/tables/table10.xml><?xml version="1.0" encoding="utf-8"?>
<table xmlns="http://schemas.openxmlformats.org/spreadsheetml/2006/main" id="14" name="tbl_Part_Act61015" displayName="tbl_Part_Act61015" ref="A8:AO110" totalsRowShown="0" headerRowDxfId="407" dataDxfId="406" tableBorderDxfId="405" dataCellStyle="Currency">
  <tableColumns count="41">
    <tableColumn id="1" name="Area of Activity_x000a_(Select this first)" dataDxfId="404"/>
    <tableColumn id="2" name="Specific Activity                                  _x000a_(Drop down only present when Area of Activity selected first - if required activity is not shown - follow guidance above)" dataDxfId="403"/>
    <tableColumn id="3" name="Duration_x000a_(Minutes)" dataDxfId="402"/>
    <tableColumn id="4" name="Undertaken by                                                _x000a_(Required field - Drop down only)" dataDxfId="401"/>
    <tableColumn id="40" name="Undertaken by _x000a_(Optional field - free text)" dataDxfId="400"/>
    <tableColumn id="5" name="Day -x to -y" dataDxfId="399"/>
    <tableColumn id="6" name="Day 0" dataDxfId="398"/>
    <tableColumn id="7" name="Column2" dataDxfId="397"/>
    <tableColumn id="8" name="Column3" dataDxfId="396"/>
    <tableColumn id="9" name="Column4" dataDxfId="395"/>
    <tableColumn id="10" name="Column5" dataDxfId="394"/>
    <tableColumn id="11" name="Column6" dataDxfId="393"/>
    <tableColumn id="12" name="Column7" dataDxfId="392"/>
    <tableColumn id="13" name="Column8" dataDxfId="391"/>
    <tableColumn id="14" name="Column9" dataDxfId="390"/>
    <tableColumn id="15" name="Column10" dataDxfId="389"/>
    <tableColumn id="16" name="Column11" dataDxfId="388"/>
    <tableColumn id="17" name="Column12" dataDxfId="387"/>
    <tableColumn id="18" name="Column13" dataDxfId="386"/>
    <tableColumn id="19" name="Column14" dataDxfId="385"/>
    <tableColumn id="20" name="Column15" dataDxfId="384"/>
    <tableColumn id="21" name="Column16" dataDxfId="383"/>
    <tableColumn id="22" name="Column17" dataDxfId="382"/>
    <tableColumn id="23" name="Column18" dataDxfId="381"/>
    <tableColumn id="24" name="Column19" dataDxfId="380"/>
    <tableColumn id="25" name="Column20" dataDxfId="379"/>
    <tableColumn id="26" name="Column21" dataDxfId="378"/>
    <tableColumn id="27" name="Column22" dataDxfId="377"/>
    <tableColumn id="28" name="Column23" dataDxfId="376"/>
    <tableColumn id="29" name="Column24" dataDxfId="375"/>
    <tableColumn id="30" name="Column25" dataDxfId="374"/>
    <tableColumn id="31" name="Column26" dataDxfId="373"/>
    <tableColumn id="32" name="Column27" dataDxfId="372"/>
    <tableColumn id="33" name="Any additional columns must be added to the left of this column." dataDxfId="371"/>
    <tableColumn id="34" name="Calculated Activity Cost" dataDxfId="37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369" dataCellStyle="Currency">
      <calculatedColumnFormula>COUNTIF($F9:$AG9, AJ$8)*$AI9</calculatedColumnFormula>
    </tableColumn>
    <tableColumn id="36" name="Research Cost (Part B)" dataDxfId="368" dataCellStyle="Currency">
      <calculatedColumnFormula>COUNTIF($F9:$AG9, AK$8)*$AI9</calculatedColumnFormula>
    </tableColumn>
    <tableColumn id="39" name="Research Cost" dataDxfId="367" dataCellStyle="Currency">
      <calculatedColumnFormula>COUNTIF($F9:$AG9, AL$8)*$AI9</calculatedColumnFormula>
    </tableColumn>
    <tableColumn id="37" name="Service Support Cost" dataDxfId="366" dataCellStyle="Currency">
      <calculatedColumnFormula>COUNTIF($F9:$AG9, AM$8)*$AI9</calculatedColumnFormula>
    </tableColumn>
    <tableColumn id="38" name="Treatment Cost" dataDxfId="365" dataCellStyle="Currency">
      <calculatedColumnFormula>COUNTIF($F9:$AG9, AN$8)*$AI9</calculatedColumnFormula>
    </tableColumn>
    <tableColumn id="41" name="Activity Look Up - Procedure or Investigation (Hidden column)" dataDxfId="36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1.xml><?xml version="1.0" encoding="utf-8"?>
<table xmlns="http://schemas.openxmlformats.org/spreadsheetml/2006/main" id="15" name="tbl_Part_Act61016" displayName="tbl_Part_Act61016" ref="A8:AO110" totalsRowShown="0" headerRowDxfId="360" dataDxfId="359" tableBorderDxfId="358" dataCellStyle="Currency">
  <tableColumns count="41">
    <tableColumn id="1" name="Area of Activity_x000a_(Select this first)" dataDxfId="357"/>
    <tableColumn id="2" name="Specific Activity                                  _x000a_(Drop down only present when Area of Activity selected first - if required activity is not shown - follow guidance above)" dataDxfId="356"/>
    <tableColumn id="3" name="Duration_x000a_(Minutes)" dataDxfId="355"/>
    <tableColumn id="4" name="Undertaken by                                                _x000a_(Required field - Drop down only)" dataDxfId="354"/>
    <tableColumn id="40" name="Undertaken by _x000a_(Optional field - free text)" dataDxfId="353"/>
    <tableColumn id="5" name="Day -x to -y" dataDxfId="352"/>
    <tableColumn id="6" name="Day 0" dataDxfId="351"/>
    <tableColumn id="7" name="Column2" dataDxfId="350"/>
    <tableColumn id="8" name="Column3" dataDxfId="349"/>
    <tableColumn id="9" name="Column4" dataDxfId="348"/>
    <tableColumn id="10" name="Column5" dataDxfId="347"/>
    <tableColumn id="11" name="Column6" dataDxfId="346"/>
    <tableColumn id="12" name="Column7" dataDxfId="345"/>
    <tableColumn id="13" name="Column8" dataDxfId="344"/>
    <tableColumn id="14" name="Column9" dataDxfId="343"/>
    <tableColumn id="15" name="Column10" dataDxfId="342"/>
    <tableColumn id="16" name="Column11" dataDxfId="341"/>
    <tableColumn id="17" name="Column12" dataDxfId="340"/>
    <tableColumn id="18" name="Column13" dataDxfId="339"/>
    <tableColumn id="19" name="Column14" dataDxfId="338"/>
    <tableColumn id="20" name="Column15" dataDxfId="337"/>
    <tableColumn id="21" name="Column16" dataDxfId="336"/>
    <tableColumn id="22" name="Column17" dataDxfId="335"/>
    <tableColumn id="23" name="Column18" dataDxfId="334"/>
    <tableColumn id="24" name="Column19" dataDxfId="333"/>
    <tableColumn id="25" name="Column20" dataDxfId="332"/>
    <tableColumn id="26" name="Column21" dataDxfId="331"/>
    <tableColumn id="27" name="Column22" dataDxfId="330"/>
    <tableColumn id="28" name="Column23" dataDxfId="329"/>
    <tableColumn id="29" name="Column24" dataDxfId="328"/>
    <tableColumn id="30" name="Column25" dataDxfId="327"/>
    <tableColumn id="31" name="Column26" dataDxfId="326"/>
    <tableColumn id="32" name="Column27" dataDxfId="325"/>
    <tableColumn id="33" name="Any additional columns must be added to the left of this column." dataDxfId="324"/>
    <tableColumn id="34" name="Calculated Activity Cost" dataDxfId="323"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322" dataCellStyle="Currency">
      <calculatedColumnFormula>COUNTIF($F9:$AG9, AJ$8)*$AI9</calculatedColumnFormula>
    </tableColumn>
    <tableColumn id="36" name="Research Cost (Part B)" dataDxfId="321" dataCellStyle="Currency">
      <calculatedColumnFormula>COUNTIF($F9:$AG9, AK$8)*$AI9</calculatedColumnFormula>
    </tableColumn>
    <tableColumn id="39" name="Research Cost" dataDxfId="320" dataCellStyle="Currency">
      <calculatedColumnFormula>COUNTIF($F9:$AG9, AL$8)*$AI9</calculatedColumnFormula>
    </tableColumn>
    <tableColumn id="37" name="Service Support Cost" dataDxfId="319" dataCellStyle="Currency">
      <calculatedColumnFormula>COUNTIF($F9:$AG9, AM$8)*$AI9</calculatedColumnFormula>
    </tableColumn>
    <tableColumn id="38" name="Treatment Cost" dataDxfId="318" dataCellStyle="Currency">
      <calculatedColumnFormula>COUNTIF($F9:$AG9, AN$8)*$AI9</calculatedColumnFormula>
    </tableColumn>
    <tableColumn id="41" name="Activity Look Up - Procedure or Investigation (Hidden column)" dataDxfId="317"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2.xml><?xml version="1.0" encoding="utf-8"?>
<table xmlns="http://schemas.openxmlformats.org/spreadsheetml/2006/main" id="16" name="tbl_Part_Act61017" displayName="tbl_Part_Act61017" ref="A8:AO110" totalsRowShown="0" headerRowDxfId="313" dataDxfId="312" tableBorderDxfId="311" dataCellStyle="Currency">
  <tableColumns count="41">
    <tableColumn id="1" name="Area of Activity_x000a_(Select this first)" dataDxfId="310"/>
    <tableColumn id="2" name="Specific Activity                                  _x000a_(Drop down only present when Area of Activity selected first - if required activity is not shown - follow guidance above)" dataDxfId="309"/>
    <tableColumn id="3" name="Duration_x000a_(Minutes)" dataDxfId="308"/>
    <tableColumn id="4" name="Undertaken by                                                _x000a_(Required field - Drop down only)" dataDxfId="307"/>
    <tableColumn id="40" name="Undertaken by _x000a_(Optional field - free text)" dataDxfId="306"/>
    <tableColumn id="5" name="Day -x to -y" dataDxfId="305"/>
    <tableColumn id="6" name="Day 0" dataDxfId="304"/>
    <tableColumn id="7" name="Column2" dataDxfId="303"/>
    <tableColumn id="8" name="Column3" dataDxfId="302"/>
    <tableColumn id="9" name="Column4" dataDxfId="301"/>
    <tableColumn id="10" name="Column5" dataDxfId="300"/>
    <tableColumn id="11" name="Column6" dataDxfId="299"/>
    <tableColumn id="12" name="Column7" dataDxfId="298"/>
    <tableColumn id="13" name="Column8" dataDxfId="297"/>
    <tableColumn id="14" name="Column9" dataDxfId="296"/>
    <tableColumn id="15" name="Column10" dataDxfId="295"/>
    <tableColumn id="16" name="Column11" dataDxfId="294"/>
    <tableColumn id="17" name="Column12" dataDxfId="293"/>
    <tableColumn id="18" name="Column13" dataDxfId="292"/>
    <tableColumn id="19" name="Column14" dataDxfId="291"/>
    <tableColumn id="20" name="Column15" dataDxfId="290"/>
    <tableColumn id="21" name="Column16" dataDxfId="289"/>
    <tableColumn id="22" name="Column17" dataDxfId="288"/>
    <tableColumn id="23" name="Column18" dataDxfId="287"/>
    <tableColumn id="24" name="Column19" dataDxfId="286"/>
    <tableColumn id="25" name="Column20" dataDxfId="285"/>
    <tableColumn id="26" name="Column21" dataDxfId="284"/>
    <tableColumn id="27" name="Column22" dataDxfId="283"/>
    <tableColumn id="28" name="Column23" dataDxfId="282"/>
    <tableColumn id="29" name="Column24" dataDxfId="281"/>
    <tableColumn id="30" name="Column25" dataDxfId="280"/>
    <tableColumn id="31" name="Column26" dataDxfId="279"/>
    <tableColumn id="32" name="Column27" dataDxfId="278"/>
    <tableColumn id="33" name="Any additional columns must be added to the left of this column." dataDxfId="277"/>
    <tableColumn id="34" name="Calculated Activity Cost" dataDxfId="276"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275" dataCellStyle="Currency">
      <calculatedColumnFormula>COUNTIF($F9:$AG9, AJ$8)*$AI9</calculatedColumnFormula>
    </tableColumn>
    <tableColumn id="36" name="Research Cost (Part B)" dataDxfId="274" dataCellStyle="Currency">
      <calculatedColumnFormula>COUNTIF($F9:$AG9, AK$8)*$AI9</calculatedColumnFormula>
    </tableColumn>
    <tableColumn id="39" name="Research Cost" dataDxfId="273" dataCellStyle="Currency">
      <calculatedColumnFormula>COUNTIF($F9:$AG9, AL$8)*$AI9</calculatedColumnFormula>
    </tableColumn>
    <tableColumn id="37" name="Service Support Cost" dataDxfId="272" dataCellStyle="Currency">
      <calculatedColumnFormula>COUNTIF($F9:$AG9, AM$8)*$AI9</calculatedColumnFormula>
    </tableColumn>
    <tableColumn id="38" name="Treatment Cost" dataDxfId="271" dataCellStyle="Currency">
      <calculatedColumnFormula>COUNTIF($F9:$AG9, AN$8)*$AI9</calculatedColumnFormula>
    </tableColumn>
    <tableColumn id="41" name="Activity Look Up - Procedure or Investigation (Hidden column)" dataDxfId="270"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3.xml><?xml version="1.0" encoding="utf-8"?>
<table xmlns="http://schemas.openxmlformats.org/spreadsheetml/2006/main" id="17" name="tbl_Part_Act61018" displayName="tbl_Part_Act61018" ref="A8:AO110" totalsRowShown="0" headerRowDxfId="266" dataDxfId="265" tableBorderDxfId="264" dataCellStyle="Currency">
  <tableColumns count="41">
    <tableColumn id="1" name="Area of Activity_x000a_(Select this first)" dataDxfId="263"/>
    <tableColumn id="2" name="Specific Activity                                  _x000a_(Drop down only present when Area of Activity selected first - if required activity is not shown - follow guidance above)" dataDxfId="262"/>
    <tableColumn id="3" name="Duration_x000a_(Minutes)" dataDxfId="261"/>
    <tableColumn id="4" name="Undertaken by                                                _x000a_(Required field - Drop down only)" dataDxfId="260"/>
    <tableColumn id="40" name="Undertaken by _x000a_(Optional field - free text)" dataDxfId="259"/>
    <tableColumn id="5" name="Day -x to -y" dataDxfId="258"/>
    <tableColumn id="6" name="Day 0" dataDxfId="257"/>
    <tableColumn id="7" name="Column2" dataDxfId="256"/>
    <tableColumn id="8" name="Column3" dataDxfId="255"/>
    <tableColumn id="9" name="Column4" dataDxfId="254"/>
    <tableColumn id="10" name="Column5" dataDxfId="253"/>
    <tableColumn id="11" name="Column6" dataDxfId="252"/>
    <tableColumn id="12" name="Column7" dataDxfId="251"/>
    <tableColumn id="13" name="Column8" dataDxfId="250"/>
    <tableColumn id="14" name="Column9" dataDxfId="249"/>
    <tableColumn id="15" name="Column10" dataDxfId="248"/>
    <tableColumn id="16" name="Column11" dataDxfId="247"/>
    <tableColumn id="17" name="Column12" dataDxfId="246"/>
    <tableColumn id="18" name="Column13" dataDxfId="245"/>
    <tableColumn id="19" name="Column14" dataDxfId="244"/>
    <tableColumn id="20" name="Column15" dataDxfId="243"/>
    <tableColumn id="21" name="Column16" dataDxfId="242"/>
    <tableColumn id="22" name="Column17" dataDxfId="241"/>
    <tableColumn id="23" name="Column18" dataDxfId="240"/>
    <tableColumn id="24" name="Column19" dataDxfId="239"/>
    <tableColumn id="25" name="Column20" dataDxfId="238"/>
    <tableColumn id="26" name="Column21" dataDxfId="237"/>
    <tableColumn id="27" name="Column22" dataDxfId="236"/>
    <tableColumn id="28" name="Column23" dataDxfId="235"/>
    <tableColumn id="29" name="Column24" dataDxfId="234"/>
    <tableColumn id="30" name="Column25" dataDxfId="233"/>
    <tableColumn id="31" name="Column26" dataDxfId="232"/>
    <tableColumn id="32" name="Column27" dataDxfId="231"/>
    <tableColumn id="33" name="Any additional columns must be added to the left of this column." dataDxfId="230"/>
    <tableColumn id="34" name="Calculated Activity Cost" dataDxfId="229"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228" dataCellStyle="Currency">
      <calculatedColumnFormula>COUNTIF($F9:$AG9, AJ$8)*$AI9</calculatedColumnFormula>
    </tableColumn>
    <tableColumn id="36" name="Research Cost (Part B)" dataDxfId="227" dataCellStyle="Currency">
      <calculatedColumnFormula>COUNTIF($F9:$AG9, AK$8)*$AI9</calculatedColumnFormula>
    </tableColumn>
    <tableColumn id="39" name="Research Cost" dataDxfId="226" dataCellStyle="Currency">
      <calculatedColumnFormula>COUNTIF($F9:$AG9, AL$8)*$AI9</calculatedColumnFormula>
    </tableColumn>
    <tableColumn id="37" name="Service Support Cost" dataDxfId="225" dataCellStyle="Currency">
      <calculatedColumnFormula>COUNTIF($F9:$AG9, AM$8)*$AI9</calculatedColumnFormula>
    </tableColumn>
    <tableColumn id="38" name="Treatment Cost" dataDxfId="224" dataCellStyle="Currency">
      <calculatedColumnFormula>COUNTIF($F9:$AG9, AN$8)*$AI9</calculatedColumnFormula>
    </tableColumn>
    <tableColumn id="41" name="Activity Look Up - Procedure or Investigation (Hidden column)" dataDxfId="223"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4.xml><?xml version="1.0" encoding="utf-8"?>
<table xmlns="http://schemas.openxmlformats.org/spreadsheetml/2006/main" id="18" name="tbl_Part_Act61019" displayName="tbl_Part_Act61019" ref="A8:AO110" totalsRowShown="0" headerRowDxfId="219" dataDxfId="218" tableBorderDxfId="217" dataCellStyle="Currency">
  <tableColumns count="41">
    <tableColumn id="1" name="Area of Activity_x000a_(Select this first)" dataDxfId="216"/>
    <tableColumn id="2" name="Specific Activity                                  _x000a_(Drop down only present when Area of Activity selected first - if required activity is not shown - follow guidance above)" dataDxfId="215"/>
    <tableColumn id="3" name="Duration_x000a_(Minutes)" dataDxfId="214"/>
    <tableColumn id="4" name="Undertaken by                                                _x000a_(Required field - Drop down only)" dataDxfId="213"/>
    <tableColumn id="40" name="Undertaken by _x000a_(Optional field - free text)" dataDxfId="212"/>
    <tableColumn id="5" name="Day -x to -y" dataDxfId="211"/>
    <tableColumn id="6" name="Day 0" dataDxfId="210"/>
    <tableColumn id="7" name="Column2" dataDxfId="209"/>
    <tableColumn id="8" name="Column3" dataDxfId="208"/>
    <tableColumn id="9" name="Column4" dataDxfId="207"/>
    <tableColumn id="10" name="Column5" dataDxfId="206"/>
    <tableColumn id="11" name="Column6" dataDxfId="205"/>
    <tableColumn id="12" name="Column7" dataDxfId="204"/>
    <tableColumn id="13" name="Column8" dataDxfId="203"/>
    <tableColumn id="14" name="Column9" dataDxfId="202"/>
    <tableColumn id="15" name="Column10" dataDxfId="201"/>
    <tableColumn id="16" name="Column11" dataDxfId="200"/>
    <tableColumn id="17" name="Column12" dataDxfId="199"/>
    <tableColumn id="18" name="Column13" dataDxfId="198"/>
    <tableColumn id="19" name="Column14" dataDxfId="197"/>
    <tableColumn id="20" name="Column15" dataDxfId="196"/>
    <tableColumn id="21" name="Column16" dataDxfId="195"/>
    <tableColumn id="22" name="Column17" dataDxfId="194"/>
    <tableColumn id="23" name="Column18" dataDxfId="193"/>
    <tableColumn id="24" name="Column19" dataDxfId="192"/>
    <tableColumn id="25" name="Column20" dataDxfId="191"/>
    <tableColumn id="26" name="Column21" dataDxfId="190"/>
    <tableColumn id="27" name="Column22" dataDxfId="189"/>
    <tableColumn id="28" name="Column23" dataDxfId="188"/>
    <tableColumn id="29" name="Column24" dataDxfId="187"/>
    <tableColumn id="30" name="Column25" dataDxfId="186"/>
    <tableColumn id="31" name="Column26" dataDxfId="185"/>
    <tableColumn id="32" name="Column27" dataDxfId="184"/>
    <tableColumn id="33" name="Any additional columns must be added to the left of this column." dataDxfId="183"/>
    <tableColumn id="34" name="Calculated Activity Cost" dataDxfId="18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181" dataCellStyle="Currency">
      <calculatedColumnFormula>COUNTIF($F9:$AG9, AJ$8)*$AI9</calculatedColumnFormula>
    </tableColumn>
    <tableColumn id="36" name="Research Cost (Part B)" dataDxfId="180" dataCellStyle="Currency">
      <calculatedColumnFormula>COUNTIF($F9:$AG9, AK$8)*$AI9</calculatedColumnFormula>
    </tableColumn>
    <tableColumn id="39" name="Research Cost" dataDxfId="179" dataCellStyle="Currency">
      <calculatedColumnFormula>COUNTIF($F9:$AG9, AL$8)*$AI9</calculatedColumnFormula>
    </tableColumn>
    <tableColumn id="37" name="Service Support Cost" dataDxfId="178" dataCellStyle="Currency">
      <calculatedColumnFormula>COUNTIF($F9:$AG9, AM$8)*$AI9</calculatedColumnFormula>
    </tableColumn>
    <tableColumn id="38" name="Treatment Cost" dataDxfId="177" dataCellStyle="Currency">
      <calculatedColumnFormula>COUNTIF($F9:$AG9, AN$8)*$AI9</calculatedColumnFormula>
    </tableColumn>
    <tableColumn id="41" name="Activity Look Up - Procedure or Investigation (Hidden column)" dataDxfId="17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5.xml><?xml version="1.0" encoding="utf-8"?>
<table xmlns="http://schemas.openxmlformats.org/spreadsheetml/2006/main" id="19" name="tbl_Part_Act61020" displayName="tbl_Part_Act61020" ref="A8:AO110" totalsRowShown="0" headerRowDxfId="172" dataDxfId="171" tableBorderDxfId="170" dataCellStyle="Currency">
  <tableColumns count="41">
    <tableColumn id="1" name="Area of Activity_x000a_(Select this first)" dataDxfId="169"/>
    <tableColumn id="2" name="Specific Activity                                  _x000a_(Drop down only present when Area of Activity selected first - if required activity is not shown - follow guidance above)" dataDxfId="168"/>
    <tableColumn id="3" name="Duration_x000a_(Minutes)" dataDxfId="167"/>
    <tableColumn id="4" name="Undertaken by                                                _x000a_(Required field - Drop down only)" dataDxfId="166"/>
    <tableColumn id="40" name="Undertaken by _x000a_(Optional field - free text)" dataDxfId="165"/>
    <tableColumn id="5" name="Day -x to -y" dataDxfId="164"/>
    <tableColumn id="6" name="Day 0" dataDxfId="163"/>
    <tableColumn id="7" name="Column2" dataDxfId="162"/>
    <tableColumn id="8" name="Column3" dataDxfId="161"/>
    <tableColumn id="9" name="Column4" dataDxfId="160"/>
    <tableColumn id="10" name="Column5" dataDxfId="159"/>
    <tableColumn id="11" name="Column6" dataDxfId="158"/>
    <tableColumn id="12" name="Column7" dataDxfId="157"/>
    <tableColumn id="13" name="Column8" dataDxfId="156"/>
    <tableColumn id="14" name="Column9" dataDxfId="155"/>
    <tableColumn id="15" name="Column10" dataDxfId="154"/>
    <tableColumn id="16" name="Column11" dataDxfId="153"/>
    <tableColumn id="17" name="Column12" dataDxfId="152"/>
    <tableColumn id="18" name="Column13" dataDxfId="151"/>
    <tableColumn id="19" name="Column14" dataDxfId="150"/>
    <tableColumn id="20" name="Column15" dataDxfId="149"/>
    <tableColumn id="21" name="Column16" dataDxfId="148"/>
    <tableColumn id="22" name="Column17" dataDxfId="147"/>
    <tableColumn id="23" name="Column18" dataDxfId="146"/>
    <tableColumn id="24" name="Column19" dataDxfId="145"/>
    <tableColumn id="25" name="Column20" dataDxfId="144"/>
    <tableColumn id="26" name="Column21" dataDxfId="143"/>
    <tableColumn id="27" name="Column22" dataDxfId="142"/>
    <tableColumn id="28" name="Column23" dataDxfId="141"/>
    <tableColumn id="29" name="Column24" dataDxfId="140"/>
    <tableColumn id="30" name="Column25" dataDxfId="139"/>
    <tableColumn id="31" name="Column26" dataDxfId="138"/>
    <tableColumn id="32" name="Column27" dataDxfId="137"/>
    <tableColumn id="33" name="Any additional columns must be added to the left of this column." dataDxfId="136"/>
    <tableColumn id="34" name="Calculated Activity Cost" dataDxfId="13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134" dataCellStyle="Currency">
      <calculatedColumnFormula>COUNTIF($F9:$AG9, AJ$8)*$AI9</calculatedColumnFormula>
    </tableColumn>
    <tableColumn id="36" name="Research Cost (Part B)" dataDxfId="133" dataCellStyle="Currency">
      <calculatedColumnFormula>COUNTIF($F9:$AG9, AK$8)*$AI9</calculatedColumnFormula>
    </tableColumn>
    <tableColumn id="39" name="Research Cost" dataDxfId="132" dataCellStyle="Currency">
      <calculatedColumnFormula>COUNTIF($F9:$AG9, AL$8)*$AI9</calculatedColumnFormula>
    </tableColumn>
    <tableColumn id="37" name="Service Support Cost" dataDxfId="131" dataCellStyle="Currency">
      <calculatedColumnFormula>COUNTIF($F9:$AG9, AM$8)*$AI9</calculatedColumnFormula>
    </tableColumn>
    <tableColumn id="38" name="Treatment Cost" dataDxfId="130" dataCellStyle="Currency">
      <calculatedColumnFormula>COUNTIF($F9:$AG9, AN$8)*$AI9</calculatedColumnFormula>
    </tableColumn>
    <tableColumn id="41" name="Activity Look Up - Procedure or Investigation (Hidden column)" dataDxfId="12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6.xml><?xml version="1.0" encoding="utf-8"?>
<table xmlns="http://schemas.openxmlformats.org/spreadsheetml/2006/main" id="20" name="tbl_Part_Act61021" displayName="tbl_Part_Act61021" ref="A8:AO110" totalsRowShown="0" headerRowDxfId="125" dataDxfId="124" tableBorderDxfId="123" dataCellStyle="Currency">
  <tableColumns count="41">
    <tableColumn id="1" name="Area of Activity_x000a_(Select this first)" dataDxfId="122"/>
    <tableColumn id="2" name="Specific Activity                                  _x000a_(Drop down only present when Area of Activity selected first - if required activity is not shown - follow guidance above)" dataDxfId="121"/>
    <tableColumn id="3" name="Duration_x000a_(Minutes)" dataDxfId="120"/>
    <tableColumn id="4" name="Undertaken by                                                _x000a_(Required field - Drop down only)" dataDxfId="119"/>
    <tableColumn id="40" name="Undertaken by _x000a_(Optional field - free text)" dataDxfId="118"/>
    <tableColumn id="5" name="Day -x to -y" dataDxfId="117"/>
    <tableColumn id="6" name="Day 0" dataDxfId="116"/>
    <tableColumn id="7" name="Column2" dataDxfId="115"/>
    <tableColumn id="8" name="Column3" dataDxfId="114"/>
    <tableColumn id="9" name="Column4" dataDxfId="113"/>
    <tableColumn id="10" name="Column5" dataDxfId="112"/>
    <tableColumn id="11" name="Column6" dataDxfId="111"/>
    <tableColumn id="12" name="Column7" dataDxfId="110"/>
    <tableColumn id="13" name="Column8" dataDxfId="109"/>
    <tableColumn id="14" name="Column9" dataDxfId="108"/>
    <tableColumn id="15" name="Column10" dataDxfId="107"/>
    <tableColumn id="16" name="Column11" dataDxfId="106"/>
    <tableColumn id="17" name="Column12" dataDxfId="105"/>
    <tableColumn id="18" name="Column13" dataDxfId="104"/>
    <tableColumn id="19" name="Column14" dataDxfId="103"/>
    <tableColumn id="20" name="Column15" dataDxfId="102"/>
    <tableColumn id="21" name="Column16" dataDxfId="101"/>
    <tableColumn id="22" name="Column17" dataDxfId="100"/>
    <tableColumn id="23" name="Column18" dataDxfId="99"/>
    <tableColumn id="24" name="Column19" dataDxfId="98"/>
    <tableColumn id="25" name="Column20" dataDxfId="97"/>
    <tableColumn id="26" name="Column21" dataDxfId="96"/>
    <tableColumn id="27" name="Column22" dataDxfId="95"/>
    <tableColumn id="28" name="Column23" dataDxfId="94"/>
    <tableColumn id="29" name="Column24" dataDxfId="93"/>
    <tableColumn id="30" name="Column25" dataDxfId="92"/>
    <tableColumn id="31" name="Column26" dataDxfId="91"/>
    <tableColumn id="32" name="Column27" dataDxfId="90"/>
    <tableColumn id="33" name="Any additional columns must be added to the left of this column." dataDxfId="89"/>
    <tableColumn id="34" name="Calculated Activity Cost" dataDxfId="8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87" dataCellStyle="Currency">
      <calculatedColumnFormula>COUNTIF($F9:$AG9, AJ$8)*$AI9</calculatedColumnFormula>
    </tableColumn>
    <tableColumn id="36" name="Research Cost (Part B)" dataDxfId="86" dataCellStyle="Currency">
      <calculatedColumnFormula>COUNTIF($F9:$AG9, AK$8)*$AI9</calculatedColumnFormula>
    </tableColumn>
    <tableColumn id="39" name="Research Cost" dataDxfId="85" dataCellStyle="Currency">
      <calculatedColumnFormula>COUNTIF($F9:$AG9, AL$8)*$AI9</calculatedColumnFormula>
    </tableColumn>
    <tableColumn id="37" name="Service Support Cost" dataDxfId="84" dataCellStyle="Currency">
      <calculatedColumnFormula>COUNTIF($F9:$AG9, AM$8)*$AI9</calculatedColumnFormula>
    </tableColumn>
    <tableColumn id="38" name="Treatment Cost" dataDxfId="83" dataCellStyle="Currency">
      <calculatedColumnFormula>COUNTIF($F9:$AG9, AN$8)*$AI9</calculatedColumnFormula>
    </tableColumn>
    <tableColumn id="41" name="Activity Look Up - Procedure or Investigation (Hidden column)" dataDxfId="8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7.xml><?xml version="1.0" encoding="utf-8"?>
<table xmlns="http://schemas.openxmlformats.org/spreadsheetml/2006/main" id="21" name="tbl_Part_Act61022" displayName="tbl_Part_Act61022" ref="A8:AO110" totalsRowShown="0" headerRowDxfId="78" dataDxfId="77" tableBorderDxfId="76" dataCellStyle="Currency">
  <tableColumns count="41">
    <tableColumn id="1" name="Area of Activity_x000a_(Select this first)" dataDxfId="75"/>
    <tableColumn id="2" name="Specific Activity                                  _x000a_(Drop down only present when Area of Activity selected first - if required activity is not shown - follow guidance above)" dataDxfId="74"/>
    <tableColumn id="3" name="Duration_x000a_(Minutes)" dataDxfId="73"/>
    <tableColumn id="4" name="Undertaken by                                                _x000a_(Required field - Drop down only)" dataDxfId="72"/>
    <tableColumn id="40" name="Undertaken by _x000a_(Optional field - free text)" dataDxfId="71"/>
    <tableColumn id="5" name="Day -x to -y" dataDxfId="70"/>
    <tableColumn id="6" name="Day 0" dataDxfId="69"/>
    <tableColumn id="7" name="Column2" dataDxfId="68"/>
    <tableColumn id="8" name="Column3" dataDxfId="67"/>
    <tableColumn id="9" name="Column4" dataDxfId="66"/>
    <tableColumn id="10" name="Column5" dataDxfId="65"/>
    <tableColumn id="11" name="Column6" dataDxfId="64"/>
    <tableColumn id="12" name="Column7" dataDxfId="63"/>
    <tableColumn id="13" name="Column8" dataDxfId="62"/>
    <tableColumn id="14" name="Column9" dataDxfId="61"/>
    <tableColumn id="15" name="Column10" dataDxfId="60"/>
    <tableColumn id="16" name="Column11" dataDxfId="59"/>
    <tableColumn id="17" name="Column12" dataDxfId="58"/>
    <tableColumn id="18" name="Column13" dataDxfId="57"/>
    <tableColumn id="19" name="Column14" dataDxfId="56"/>
    <tableColumn id="20" name="Column15" dataDxfId="55"/>
    <tableColumn id="21" name="Column16" dataDxfId="54"/>
    <tableColumn id="22" name="Column17" dataDxfId="53"/>
    <tableColumn id="23" name="Column18" dataDxfId="52"/>
    <tableColumn id="24" name="Column19" dataDxfId="51"/>
    <tableColumn id="25" name="Column20" dataDxfId="50"/>
    <tableColumn id="26" name="Column21" dataDxfId="49"/>
    <tableColumn id="27" name="Column22" dataDxfId="48"/>
    <tableColumn id="28" name="Column23" dataDxfId="47"/>
    <tableColumn id="29" name="Column24" dataDxfId="46"/>
    <tableColumn id="30" name="Column25" dataDxfId="45"/>
    <tableColumn id="31" name="Column26" dataDxfId="44"/>
    <tableColumn id="32" name="Column27" dataDxfId="43"/>
    <tableColumn id="33" name="Any additional columns must be added to the left of this column." dataDxfId="42"/>
    <tableColumn id="34" name="Calculated Activity Cost" dataDxfId="4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0" dataCellStyle="Currency">
      <calculatedColumnFormula>COUNTIF($F9:$AG9, AJ$8)*$AI9</calculatedColumnFormula>
    </tableColumn>
    <tableColumn id="36" name="Research Cost (Part B)" dataDxfId="39" dataCellStyle="Currency">
      <calculatedColumnFormula>COUNTIF($F9:$AG9, AK$8)*$AI9</calculatedColumnFormula>
    </tableColumn>
    <tableColumn id="39" name="Research Cost" dataDxfId="38" dataCellStyle="Currency">
      <calculatedColumnFormula>COUNTIF($F9:$AG9, AL$8)*$AI9</calculatedColumnFormula>
    </tableColumn>
    <tableColumn id="37" name="Service Support Cost" dataDxfId="37" dataCellStyle="Currency">
      <calculatedColumnFormula>COUNTIF($F9:$AG9, AM$8)*$AI9</calculatedColumnFormula>
    </tableColumn>
    <tableColumn id="38" name="Treatment Cost" dataDxfId="36" dataCellStyle="Currency">
      <calculatedColumnFormula>COUNTIF($F9:$AG9, AN$8)*$AI9</calculatedColumnFormula>
    </tableColumn>
    <tableColumn id="41" name="Activity Look Up - Procedure or Investigation (Hidden column)" dataDxfId="3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8.xml><?xml version="1.0" encoding="utf-8"?>
<table xmlns="http://schemas.openxmlformats.org/spreadsheetml/2006/main" id="10" name="TBL_Manually_added_tariffs" displayName="TBL_Manually_added_tariffs" ref="A11:C14" totalsRowShown="0" headerRowDxfId="30" dataDxfId="28" headerRowBorderDxfId="29" tableBorderDxfId="27" totalsRowBorderDxfId="26">
  <tableColumns count="3">
    <tableColumn id="1" name="Activity" dataDxfId="25"/>
    <tableColumn id="2" name="ActivityType" dataDxfId="24"/>
    <tableColumn id="7" name="Cost (IF INVESTIGATION)" dataDxfId="23"/>
  </tableColumns>
  <tableStyleInfo name="Table Style 1" showFirstColumn="0" showLastColumn="0" showRowStripes="1" showColumnStripes="0"/>
</table>
</file>

<file path=xl/tables/table19.xml><?xml version="1.0" encoding="utf-8"?>
<table xmlns="http://schemas.openxmlformats.org/spreadsheetml/2006/main" id="1" name="TARIFF_TABLE" displayName="TARIFF_TABLE" ref="A3:F706" totalsRowShown="0" headerRowDxfId="22" dataDxfId="20" headerRowBorderDxfId="21" tableBorderDxfId="19" totalsRowBorderDxfId="18" headerRowCellStyle="Normal 3 2">
  <autoFilter ref="A3:F706">
    <filterColumn colId="2">
      <filters>
        <filter val="General"/>
      </filters>
    </filterColumn>
  </autoFilter>
  <sortState ref="A8:F195">
    <sortCondition ref="A4:A706"/>
  </sortState>
  <tableColumns count="6">
    <tableColumn id="1" name="Activity" dataDxfId="17"/>
    <tableColumn id="2" name="Activity Type" dataDxfId="16"/>
    <tableColumn id="10" name="Menu" dataDxfId="15"/>
    <tableColumn id="9" name="Area of Activity" dataDxfId="14"/>
    <tableColumn id="7" name="Cost" dataDxfId="13"/>
    <tableColumn id="8" name="Definition" dataDxfId="12"/>
  </tableColumns>
  <tableStyleInfo name="TableStyleLight11" showFirstColumn="0" showLastColumn="0" showRowStripes="1" showColumnStripes="0"/>
</table>
</file>

<file path=xl/tables/table2.xml><?xml version="1.0" encoding="utf-8"?>
<table xmlns="http://schemas.openxmlformats.org/spreadsheetml/2006/main" id="3" name="tbl_Gen_Act" displayName="tbl_Gen_Act" ref="A10:P110" totalsRowShown="0" headerRowDxfId="760" dataDxfId="759" tableBorderDxfId="758" dataCellStyle="Currency">
  <tableColumns count="16">
    <tableColumn id="1" name="Area of Activity_x000a_(Select this first)" dataDxfId="757"/>
    <tableColumn id="2" name="Specific Activity                                    _x000a_(Drop down only present when Area of Activity selected first – if required option is not available please follow guidance in Non-tariff Costs tab)" dataDxfId="756"/>
    <tableColumn id="3" name="Duration_x000a_(Minutes)" dataDxfId="755"/>
    <tableColumn id="4" name="Undertaken by                                                _x000a_(Required field - Drop down only)" dataDxfId="754"/>
    <tableColumn id="10" name="Undertaken by _x000a_(Optional field - free text)" dataDxfId="753"/>
    <tableColumn id="5" name="Site Set Up" dataDxfId="752"/>
    <tableColumn id="6" name="On Trial" dataDxfId="751"/>
    <tableColumn id="7" name="Close site to recruitment" dataDxfId="750"/>
    <tableColumn id="8" name="Site close out" dataDxfId="749"/>
    <tableColumn id="39" name="Calculated Activity Cost" dataDxfId="748" dataCellStyle="Currency">
      <calculatedColumnFormula>IF(INDEX(TARIFF_TABLE[#All], MATCH($B11,TARIFF_TABLE[[#All],[Activity]],0),MATCH("ActivityType",TARIFF_TABLE[#Headers]))="Investigation",INDEX(TARIFF_TABLE[#All], MATCH($B11,TARIFF_TABLE[[#All],[Activity]],0),MATCH("Cost",TARIFF_TABLE[#Headers])),INDEX(Staff_Costs[#All],MATCH(D11,Staff_Costs[[#All],[Role]],0),MATCH("Per-minute cost",Staff_Costs[#Headers],0))*C11)</calculatedColumnFormula>
    </tableColumn>
    <tableColumn id="34" name="Research Cost (Part A)" dataDxfId="747" dataCellStyle="Currency">
      <calculatedColumnFormula>COUNTIF($F11:$I11, K$10)*$J11</calculatedColumnFormula>
    </tableColumn>
    <tableColumn id="35" name="Research Cost (Part B)" dataDxfId="746" dataCellStyle="Currency">
      <calculatedColumnFormula>IF(INDEX(TARIFF_TABLE[#All], MATCH($B11,TARIFF_TABLE[[#All],[Activity]],0),MATCH("ActivityType",TARIFF_TABLE[#Headers]))="Investigation",INDEX(TARIFF_TABLE[#All], MATCH($B11,TARIFF_TABLE[[#All],[Activity]],0),MATCH("Cost",TARIFF_TABLE[#Headers])),INDEX(Staff_Costs[#All],MATCH(F11,Staff_Costs[[#All],[Role]],0),MATCH("Per-minute cost",Staff_Costs[#Headers],0))*D11)</calculatedColumnFormula>
    </tableColumn>
    <tableColumn id="9" name="Research Cost" dataDxfId="745" dataCellStyle="Currency">
      <calculatedColumnFormula>COUNTIF($F11:$I11, M$10)*$J11</calculatedColumnFormula>
    </tableColumn>
    <tableColumn id="36" name="Service Support Cost" dataDxfId="744" dataCellStyle="Currency">
      <calculatedColumnFormula>IF(INDEX(TARIFF_TABLE[#All], MATCH($B11,TARIFF_TABLE[[#All],[Activity]],0),MATCH("ActivityType",TARIFF_TABLE[#Headers]))="Investigation",INDEX(TARIFF_TABLE[#All], MATCH($B11,TARIFF_TABLE[[#All],[Activity]],0),MATCH("Cost",TARIFF_TABLE[#Headers])),INDEX(Staff_Costs[#All],MATCH(G11,Staff_Costs[[#All],[Role]],0),MATCH("Per-minute cost",Staff_Costs[#Headers],0))*F11)</calculatedColumnFormula>
    </tableColumn>
    <tableColumn id="37" name="Treatment Cost" dataDxfId="743" dataCellStyle="Currency">
      <calculatedColumnFormula>IF(INDEX(TARIFF_TABLE[#All], MATCH($B11,TARIFF_TABLE[[#All],[Activity]],0),MATCH("ActivityType",TARIFF_TABLE[#Headers]))="Investigation",INDEX(TARIFF_TABLE[#All], MATCH($B11,TARIFF_TABLE[[#All],[Activity]],0),MATCH("Cost",TARIFF_TABLE[#Headers])),INDEX(Staff_Costs[#All],MATCH(H11,Staff_Costs[[#All],[Role]],0),MATCH("Per-minute cost",Staff_Costs[#Headers],0))*G11)</calculatedColumnFormula>
    </tableColumn>
    <tableColumn id="41" name="Activity Look Up - Procedure or Investigation (Hidden column)" dataDxfId="742" dataCellStyle="Currency">
      <calculatedColumnFormula>INDEX('Tariff (hidden)'!$B$4:$B$133,MATCH(B11,'Tariff (hidden)'!$A$4:$A$133,0))</calculatedColumnFormula>
    </tableColumn>
  </tableColumns>
  <tableStyleInfo name="Table Style 1" showFirstColumn="0" showLastColumn="0" showRowStripes="1" showColumnStripes="0"/>
</table>
</file>

<file path=xl/tables/table20.xml><?xml version="1.0" encoding="utf-8"?>
<table xmlns="http://schemas.openxmlformats.org/spreadsheetml/2006/main" id="2" name="Staff_Costs" displayName="Staff_Costs" ref="B5:C8" totalsRowShown="0" headerRowDxfId="11" dataDxfId="9" headerRowBorderDxfId="10" tableBorderDxfId="8" totalsRowBorderDxfId="7">
  <autoFilter ref="B5:C8"/>
  <sortState ref="B4:C8">
    <sortCondition ref="B3:B8"/>
  </sortState>
  <tableColumns count="2">
    <tableColumn id="1" name="Role" dataDxfId="6"/>
    <tableColumn id="2" name="Per-minute cost" dataDxfId="5"/>
  </tableColumns>
  <tableStyleInfo name="TableStyleLight11" showFirstColumn="0" showLastColumn="0" showRowStripes="1" showColumnStripes="0"/>
</table>
</file>

<file path=xl/tables/table21.xml><?xml version="1.0" encoding="utf-8"?>
<table xmlns="http://schemas.openxmlformats.org/spreadsheetml/2006/main" id="11" name="Table11" displayName="Table11" ref="A5:B24" totalsRowShown="0" headerRowBorderDxfId="4" tableBorderDxfId="3" totalsRowBorderDxfId="2">
  <autoFilter ref="A5:B24"/>
  <tableColumns count="2">
    <tableColumn id="1" name="Version Number" dataDxfId="1"/>
    <tableColumn id="2" name="Record of changes" dataDxfId="0"/>
  </tableColumns>
  <tableStyleInfo name="TableStyleMedium2" showFirstColumn="0" showLastColumn="0" showRowStripes="1" showColumnStripes="0"/>
</table>
</file>

<file path=xl/tables/table3.xml><?xml version="1.0" encoding="utf-8"?>
<table xmlns="http://schemas.openxmlformats.org/spreadsheetml/2006/main" id="6" name="tbl_Part_Act" displayName="tbl_Part_Act" ref="A8:AO110" totalsRowShown="0" headerRowDxfId="737" dataDxfId="736" tableBorderDxfId="735" dataCellStyle="Currency">
  <tableColumns count="41">
    <tableColumn id="1" name="Area of Activity_x000a_(Select this first)" dataDxfId="734"/>
    <tableColumn id="2" name="Specific Activity                                   _x000a_(Drop down only present when Area of Activity selected first - if required activity is not shown - follow guidance above)" dataDxfId="733"/>
    <tableColumn id="3" name="Duration_x000a_(Minutes)" dataDxfId="732"/>
    <tableColumn id="4" name="Undertaken by                                                _x000a_(Required field - Drop down only)" dataDxfId="731"/>
    <tableColumn id="40" name="Undertaken by _x000a_(Optional field - free text)" dataDxfId="730"/>
    <tableColumn id="5" name="Day -x to -y" dataDxfId="729"/>
    <tableColumn id="6" name="Day 0" dataDxfId="728"/>
    <tableColumn id="7" name="Column2" dataDxfId="727"/>
    <tableColumn id="8" name="Column3" dataDxfId="726"/>
    <tableColumn id="9" name="Column4" dataDxfId="725"/>
    <tableColumn id="10" name="Column5" dataDxfId="724"/>
    <tableColumn id="11" name="Column6" dataDxfId="723"/>
    <tableColumn id="12" name="Column7" dataDxfId="722"/>
    <tableColumn id="13" name="Column8" dataDxfId="721"/>
    <tableColumn id="14" name="Column9" dataDxfId="720"/>
    <tableColumn id="15" name="Column10" dataDxfId="719"/>
    <tableColumn id="16" name="Column11" dataDxfId="718"/>
    <tableColumn id="17" name="Column12" dataDxfId="717"/>
    <tableColumn id="18" name="Column13" dataDxfId="716"/>
    <tableColumn id="19" name="Column14" dataDxfId="715"/>
    <tableColumn id="20" name="Column15" dataDxfId="714"/>
    <tableColumn id="21" name="Column16" dataDxfId="713"/>
    <tableColumn id="22" name="Column17" dataDxfId="712"/>
    <tableColumn id="23" name="Column18" dataDxfId="711"/>
    <tableColumn id="24" name="Column19" dataDxfId="710"/>
    <tableColumn id="25" name="Column20" dataDxfId="709"/>
    <tableColumn id="26" name="Column21" dataDxfId="708"/>
    <tableColumn id="27" name="Column22" dataDxfId="707"/>
    <tableColumn id="28" name="Column23" dataDxfId="706"/>
    <tableColumn id="29" name="Column24" dataDxfId="705"/>
    <tableColumn id="30" name="Column25" dataDxfId="704"/>
    <tableColumn id="31" name="Column26" dataDxfId="703"/>
    <tableColumn id="32" name="Column27" dataDxfId="702"/>
    <tableColumn id="33" name="Any additional columns must be added to the left of this column." dataDxfId="701"/>
    <tableColumn id="34" name="Calculated Activity Cost" dataDxfId="70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99" dataCellStyle="Currency">
      <calculatedColumnFormula>COUNTIF($F9:$AG9, AJ$8)*$AI9</calculatedColumnFormula>
    </tableColumn>
    <tableColumn id="36" name="Research Cost (Part B)" dataDxfId="698" dataCellStyle="Currency">
      <calculatedColumnFormula>COUNTIF($F9:$AG9, AK$8)*$AI9</calculatedColumnFormula>
    </tableColumn>
    <tableColumn id="39" name="Research Cost" dataDxfId="697" dataCellStyle="Currency">
      <calculatedColumnFormula>COUNTIF($F9:$AG9, AL$8)*$AI9</calculatedColumnFormula>
    </tableColumn>
    <tableColumn id="37" name="Service Support Cost" dataDxfId="696" dataCellStyle="Currency">
      <calculatedColumnFormula>COUNTIF($F9:$AG9, AM$8)*$AI9</calculatedColumnFormula>
    </tableColumn>
    <tableColumn id="38" name="Treatment Cost" dataDxfId="695" dataCellStyle="Currency">
      <calculatedColumnFormula>COUNTIF($F9:$AG9, AN$8)*$AI9</calculatedColumnFormula>
    </tableColumn>
    <tableColumn id="41" name="Activity Look Up - Procedure or Investigation (Hidden column)" dataDxfId="69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4.xml><?xml version="1.0" encoding="utf-8"?>
<table xmlns="http://schemas.openxmlformats.org/spreadsheetml/2006/main" id="5" name="tbl_Part_Act6" displayName="tbl_Part_Act6" ref="A8:AO110" totalsRowShown="0" headerRowDxfId="689" dataDxfId="688" tableBorderDxfId="687" dataCellStyle="Currency">
  <tableColumns count="41">
    <tableColumn id="1" name="Area of Activity_x000a_(Select this first)" dataDxfId="686"/>
    <tableColumn id="2" name="Specific Activity                                    _x000a_(Drop down only present when Area of Activity selected first - if required activity is not shown - follow guidance above)" dataDxfId="685"/>
    <tableColumn id="3" name="Duration_x000a_(Minutes)" dataDxfId="684"/>
    <tableColumn id="4" name="Undertaken by                                                _x000a_(Required field - Drop down only)" dataDxfId="683"/>
    <tableColumn id="40" name="Undertaken by _x000a_(Optional field - free text)" dataDxfId="682"/>
    <tableColumn id="5" name="Day -x to -y" dataDxfId="681"/>
    <tableColumn id="6" name="Day 0" dataDxfId="680"/>
    <tableColumn id="7" name="Column2" dataDxfId="679"/>
    <tableColumn id="8" name="Column3" dataDxfId="678"/>
    <tableColumn id="9" name="Column4" dataDxfId="677"/>
    <tableColumn id="10" name="Column5" dataDxfId="676"/>
    <tableColumn id="11" name="Column6" dataDxfId="675"/>
    <tableColumn id="12" name="Column7" dataDxfId="674"/>
    <tableColumn id="13" name="Column8" dataDxfId="673"/>
    <tableColumn id="14" name="Column9" dataDxfId="672"/>
    <tableColumn id="15" name="Column10" dataDxfId="671"/>
    <tableColumn id="16" name="Column11" dataDxfId="670"/>
    <tableColumn id="17" name="Column12" dataDxfId="669"/>
    <tableColumn id="18" name="Column13" dataDxfId="668"/>
    <tableColumn id="19" name="Column14" dataDxfId="667"/>
    <tableColumn id="20" name="Column15" dataDxfId="666"/>
    <tableColumn id="21" name="Column16" dataDxfId="665"/>
    <tableColumn id="22" name="Column17" dataDxfId="664"/>
    <tableColumn id="23" name="Column18" dataDxfId="663"/>
    <tableColumn id="24" name="Column19" dataDxfId="662"/>
    <tableColumn id="25" name="Column20" dataDxfId="661"/>
    <tableColumn id="26" name="Column21" dataDxfId="660"/>
    <tableColumn id="27" name="Column22" dataDxfId="659"/>
    <tableColumn id="28" name="Column23" dataDxfId="658"/>
    <tableColumn id="29" name="Column24" dataDxfId="657"/>
    <tableColumn id="30" name="Column25" dataDxfId="656"/>
    <tableColumn id="31" name="Column26" dataDxfId="655"/>
    <tableColumn id="32" name="Column27" dataDxfId="654"/>
    <tableColumn id="33" name="Any additional columns must be added to the left of this column." dataDxfId="653"/>
    <tableColumn id="34" name="Calculated Activity Cost" dataDxfId="65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51" dataCellStyle="Currency">
      <calculatedColumnFormula>COUNTIF($F9:$AG9, AJ$8)*$AI9</calculatedColumnFormula>
    </tableColumn>
    <tableColumn id="36" name="Research Cost (Part B)" dataDxfId="650" dataCellStyle="Currency">
      <calculatedColumnFormula>COUNTIF($F9:$AG9, AK$8)*$AI9</calculatedColumnFormula>
    </tableColumn>
    <tableColumn id="39" name="Research Cost" dataDxfId="649" dataCellStyle="Currency"/>
    <tableColumn id="37" name="Service Support Cost" dataDxfId="648" dataCellStyle="Currency">
      <calculatedColumnFormula>COUNTIF($F9:$AG9, AM$8)*$AI9</calculatedColumnFormula>
    </tableColumn>
    <tableColumn id="38" name="Treatment Cost" dataDxfId="647" dataCellStyle="Currency">
      <calculatedColumnFormula>COUNTIF($F9:$AG9, AN$8)*$AI9</calculatedColumnFormula>
    </tableColumn>
    <tableColumn id="41" name="Activity Look Up - Procedure or Investigation (Hidden column)" dataDxfId="64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5.xml><?xml version="1.0" encoding="utf-8"?>
<table xmlns="http://schemas.openxmlformats.org/spreadsheetml/2006/main" id="7" name="tbl_Part_Act68" displayName="tbl_Part_Act68" ref="A7:AO110" totalsRowShown="0" headerRowDxfId="642" dataDxfId="641" tableBorderDxfId="640" dataCellStyle="Currency">
  <tableColumns count="41">
    <tableColumn id="1" name="Area of Activity_x000a_(Select this first)" dataDxfId="639"/>
    <tableColumn id="2" name="Specific Activity                                   _x000a_(Drop down only present when Area of Activity selected first - if required activity is not shown - follow guidance above)" dataDxfId="638"/>
    <tableColumn id="3" name="Duration_x000a_(Minutes)" dataDxfId="637"/>
    <tableColumn id="4" name="Undertaken by                                                _x000a_(Required field - Drop down only)" dataDxfId="636"/>
    <tableColumn id="40" name="Undertaken by _x000a_(Optional field - free text)" dataDxfId="635"/>
    <tableColumn id="5" name="Day -x to -y" dataDxfId="634"/>
    <tableColumn id="6" name="Day 0" dataDxfId="633"/>
    <tableColumn id="7" name="Column2" dataDxfId="632"/>
    <tableColumn id="8" name="Column3" dataDxfId="631"/>
    <tableColumn id="9" name="Column4" dataDxfId="630"/>
    <tableColumn id="10" name="Column5" dataDxfId="629"/>
    <tableColumn id="11" name="Column6" dataDxfId="628"/>
    <tableColumn id="12" name="Column7" dataDxfId="627"/>
    <tableColumn id="13" name="Column8" dataDxfId="626"/>
    <tableColumn id="14" name="Column9" dataDxfId="625"/>
    <tableColumn id="15" name="Column10" dataDxfId="624"/>
    <tableColumn id="16" name="Column11" dataDxfId="623"/>
    <tableColumn id="17" name="Column12" dataDxfId="622"/>
    <tableColumn id="18" name="Column13" dataDxfId="621"/>
    <tableColumn id="19" name="Column14" dataDxfId="620"/>
    <tableColumn id="20" name="Column15" dataDxfId="619"/>
    <tableColumn id="21" name="Column16" dataDxfId="618"/>
    <tableColumn id="22" name="Column17" dataDxfId="617"/>
    <tableColumn id="23" name="Column18" dataDxfId="616"/>
    <tableColumn id="24" name="Column19" dataDxfId="615"/>
    <tableColumn id="25" name="Column20" dataDxfId="614"/>
    <tableColumn id="26" name="Column21" dataDxfId="613"/>
    <tableColumn id="27" name="Column22" dataDxfId="612"/>
    <tableColumn id="28" name="Column23" dataDxfId="611"/>
    <tableColumn id="29" name="Column24" dataDxfId="610"/>
    <tableColumn id="30" name="Column25" dataDxfId="609"/>
    <tableColumn id="31" name="Column26" dataDxfId="608"/>
    <tableColumn id="32" name="Column27" dataDxfId="607"/>
    <tableColumn id="33" name="Any additional columns must be added to the left of this column." dataDxfId="606"/>
    <tableColumn id="34" name="Calculated Activity Cost" dataDxfId="605" dataCellStyle="Currency">
      <calculatedColumnFormula>IF(INDEX(TARIFF_TABLE[#All], MATCH($B8,TARIFF_TABLE[[#All],[Activity]],0),MATCH("ActivityType",TARIFF_TABLE[#Headers]))="Investigation",INDEX(TARIFF_TABLE[#All], MATCH($B8,TARIFF_TABLE[[#All],[Activity]],0),MATCH("Cost",TARIFF_TABLE[#Headers])),INDEX(Staff_Costs[#All],MATCH('Per-Participant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04" dataCellStyle="Currency">
      <calculatedColumnFormula>COUNTIF($F8:$AG8, AJ$7)*$AI8</calculatedColumnFormula>
    </tableColumn>
    <tableColumn id="36" name="Research Cost (Part B)" dataDxfId="603" dataCellStyle="Currency">
      <calculatedColumnFormula>COUNTIF($F8:$AG8, AK$7)*$AI8</calculatedColumnFormula>
    </tableColumn>
    <tableColumn id="39" name="Research Cost" dataDxfId="602" dataCellStyle="Currency">
      <calculatedColumnFormula>COUNTIF($F8:$AG8, AL$7)*$AI8</calculatedColumnFormula>
    </tableColumn>
    <tableColumn id="37" name="Service Support Cost" dataDxfId="601" dataCellStyle="Currency">
      <calculatedColumnFormula>COUNTIF($F8:$AG8, AM$7)*$AI8</calculatedColumnFormula>
    </tableColumn>
    <tableColumn id="38" name="Treatment Cost" dataDxfId="600" dataCellStyle="Currency">
      <calculatedColumnFormula>COUNTIF($F8:$AG8, AN$7)*$AI8</calculatedColumnFormula>
    </tableColumn>
    <tableColumn id="41" name="Activity Look Up - Procedure or Investigation (Hidden column)" dataDxfId="599" dataCellStyle="Currency">
      <calculatedColumnFormula>INDEX('Tariff (hidden)'!$B$4:$B$133,MATCH(B8,'Tariff (hidden)'!$A$4:$A$133,0))</calculatedColumnFormula>
    </tableColumn>
  </tableColumns>
  <tableStyleInfo name="Table Style 1" showFirstColumn="0" showLastColumn="0" showRowStripes="1" showColumnStripes="0"/>
</table>
</file>

<file path=xl/tables/table6.xml><?xml version="1.0" encoding="utf-8"?>
<table xmlns="http://schemas.openxmlformats.org/spreadsheetml/2006/main" id="8" name="tbl_Part_Act69" displayName="tbl_Part_Act69" ref="A8:AO110" totalsRowShown="0" headerRowDxfId="595" dataDxfId="594" tableBorderDxfId="593" dataCellStyle="Currency">
  <tableColumns count="41">
    <tableColumn id="1" name="Area of Activity_x000a_(Select this first)" dataDxfId="592"/>
    <tableColumn id="2" name="Specific Activity                                  _x000a_(Drop down only present when Area of Activity selected first - if required activity is not shown - follow guidance above)" dataDxfId="591"/>
    <tableColumn id="3" name="Duration_x000a_(Minutes)" dataDxfId="590"/>
    <tableColumn id="4" name="Undertaken by                                                _x000a_(Required field - Drop down only)" dataDxfId="589"/>
    <tableColumn id="40" name="Undertaken by _x000a_(Optional field - free text)" dataDxfId="588"/>
    <tableColumn id="5" name="Day -x to -y" dataDxfId="587"/>
    <tableColumn id="6" name="Day 0" dataDxfId="586"/>
    <tableColumn id="7" name="Column2" dataDxfId="585"/>
    <tableColumn id="8" name="Column3" dataDxfId="584"/>
    <tableColumn id="9" name="Column4" dataDxfId="583"/>
    <tableColumn id="10" name="Column5" dataDxfId="582"/>
    <tableColumn id="11" name="Column6" dataDxfId="581"/>
    <tableColumn id="12" name="Column7" dataDxfId="580"/>
    <tableColumn id="13" name="Column8" dataDxfId="579"/>
    <tableColumn id="14" name="Column9" dataDxfId="578"/>
    <tableColumn id="15" name="Column10" dataDxfId="577"/>
    <tableColumn id="16" name="Column11" dataDxfId="576"/>
    <tableColumn id="17" name="Column12" dataDxfId="575"/>
    <tableColumn id="18" name="Column13" dataDxfId="574"/>
    <tableColumn id="19" name="Column14" dataDxfId="573"/>
    <tableColumn id="20" name="Column15" dataDxfId="572"/>
    <tableColumn id="21" name="Column16" dataDxfId="571"/>
    <tableColumn id="22" name="Column17" dataDxfId="570"/>
    <tableColumn id="23" name="Column18" dataDxfId="569"/>
    <tableColumn id="24" name="Column19" dataDxfId="568"/>
    <tableColumn id="25" name="Column20" dataDxfId="567"/>
    <tableColumn id="26" name="Column21" dataDxfId="566"/>
    <tableColumn id="27" name="Column22" dataDxfId="565"/>
    <tableColumn id="28" name="Column23" dataDxfId="564"/>
    <tableColumn id="29" name="Column24" dataDxfId="563"/>
    <tableColumn id="30" name="Column25" dataDxfId="562"/>
    <tableColumn id="31" name="Column26" dataDxfId="561"/>
    <tableColumn id="32" name="Column27" dataDxfId="560"/>
    <tableColumn id="33" name="Any additional columns must be added to the left of this column." dataDxfId="559"/>
    <tableColumn id="34" name="Calculated Activity Cost" dataDxfId="55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557" dataCellStyle="Currency">
      <calculatedColumnFormula>COUNTIF($F9:$AG9, AJ$8)*$AI9</calculatedColumnFormula>
    </tableColumn>
    <tableColumn id="36" name="Research Cost (Part B)" dataDxfId="556" dataCellStyle="Currency">
      <calculatedColumnFormula>COUNTIF($F9:$AG9, AK$8)*$AI9</calculatedColumnFormula>
    </tableColumn>
    <tableColumn id="39" name="Research Cost" dataDxfId="555" dataCellStyle="Currency">
      <calculatedColumnFormula>COUNTIF($F9:$AG9, AL$8)*$AI9</calculatedColumnFormula>
    </tableColumn>
    <tableColumn id="37" name="Service Support Cost" dataDxfId="554" dataCellStyle="Currency">
      <calculatedColumnFormula>COUNTIF($F9:$AG9, AM$8)*$AI9</calculatedColumnFormula>
    </tableColumn>
    <tableColumn id="38" name="Treatment Cost" dataDxfId="553" dataCellStyle="Currency">
      <calculatedColumnFormula>COUNTIF($F9:$AG9, AN$8)*$AI9</calculatedColumnFormula>
    </tableColumn>
    <tableColumn id="41" name="Activity Look Up - Procedure or Investigation (Hidden column)" dataDxfId="55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7.xml><?xml version="1.0" encoding="utf-8"?>
<table xmlns="http://schemas.openxmlformats.org/spreadsheetml/2006/main" id="9" name="tbl_Part_Act610" displayName="tbl_Part_Act610" ref="A8:AO110" totalsRowShown="0" headerRowDxfId="548" dataDxfId="547" tableBorderDxfId="546" dataCellStyle="Currency">
  <tableColumns count="41">
    <tableColumn id="1" name="Area of Activity_x000a_(Select this first)" dataDxfId="545"/>
    <tableColumn id="2" name="Specific Activity                                  _x000a_(Drop down only present when Area of Activity selected first - if required activity is not shown - follow guidance above)" dataDxfId="544"/>
    <tableColumn id="3" name="Duration_x000a_(Minutes)" dataDxfId="543"/>
    <tableColumn id="4" name="Undertaken by                                                _x000a_(Required field - Drop down only)" dataDxfId="542"/>
    <tableColumn id="40" name="Undertaken by _x000a_(Optional field - free text)" dataDxfId="541"/>
    <tableColumn id="5" name="Day -x to -y" dataDxfId="540"/>
    <tableColumn id="6" name="Day 0" dataDxfId="539"/>
    <tableColumn id="7" name="Column2" dataDxfId="538"/>
    <tableColumn id="8" name="Column3" dataDxfId="537"/>
    <tableColumn id="9" name="Column4" dataDxfId="536"/>
    <tableColumn id="10" name="Column5" dataDxfId="535"/>
    <tableColumn id="11" name="Column6" dataDxfId="534"/>
    <tableColumn id="12" name="Column7" dataDxfId="533"/>
    <tableColumn id="13" name="Column8" dataDxfId="532"/>
    <tableColumn id="14" name="Column9" dataDxfId="531"/>
    <tableColumn id="15" name="Column10" dataDxfId="530"/>
    <tableColumn id="16" name="Column11" dataDxfId="529"/>
    <tableColumn id="17" name="Column12" dataDxfId="528"/>
    <tableColumn id="18" name="Column13" dataDxfId="527"/>
    <tableColumn id="19" name="Column14" dataDxfId="526"/>
    <tableColumn id="20" name="Column15" dataDxfId="525"/>
    <tableColumn id="21" name="Column16" dataDxfId="524"/>
    <tableColumn id="22" name="Column17" dataDxfId="523"/>
    <tableColumn id="23" name="Column18" dataDxfId="522"/>
    <tableColumn id="24" name="Column19" dataDxfId="521"/>
    <tableColumn id="25" name="Column20" dataDxfId="520"/>
    <tableColumn id="26" name="Column21" dataDxfId="519"/>
    <tableColumn id="27" name="Column22" dataDxfId="518"/>
    <tableColumn id="28" name="Column23" dataDxfId="517"/>
    <tableColumn id="29" name="Column24" dataDxfId="516"/>
    <tableColumn id="30" name="Column25" dataDxfId="515"/>
    <tableColumn id="31" name="Column26" dataDxfId="514"/>
    <tableColumn id="32" name="Column27" dataDxfId="513"/>
    <tableColumn id="33" name="Any additional columns must be added to the left of this column." dataDxfId="512"/>
    <tableColumn id="34" name="Calculated Activity Cost" dataDxfId="51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510" dataCellStyle="Currency">
      <calculatedColumnFormula>COUNTIF($F9:$AG9, AJ$8)*$AI9</calculatedColumnFormula>
    </tableColumn>
    <tableColumn id="36" name="Research Cost (Part B)" dataDxfId="509" dataCellStyle="Currency">
      <calculatedColumnFormula>COUNTIF($F9:$AG9, AK$8)*$AI9</calculatedColumnFormula>
    </tableColumn>
    <tableColumn id="39" name="Research Cost" dataDxfId="508" dataCellStyle="Currency">
      <calculatedColumnFormula>COUNTIF($F9:$AG9, AL$8)*$AI9</calculatedColumnFormula>
    </tableColumn>
    <tableColumn id="37" name="Service Support Cost" dataDxfId="507" dataCellStyle="Currency">
      <calculatedColumnFormula>COUNTIF($F9:$AG9, AM$8)*$AI9</calculatedColumnFormula>
    </tableColumn>
    <tableColumn id="38" name="Treatment Cost" dataDxfId="506" dataCellStyle="Currency">
      <calculatedColumnFormula>COUNTIF($F9:$AG9, AN$8)*$AI9</calculatedColumnFormula>
    </tableColumn>
    <tableColumn id="41" name="Activity Look Up - Procedure or Investigation (Hidden column)" dataDxfId="50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8.xml><?xml version="1.0" encoding="utf-8"?>
<table xmlns="http://schemas.openxmlformats.org/spreadsheetml/2006/main" id="12" name="tbl_Part_Act61013" displayName="tbl_Part_Act61013" ref="A8:AO110" totalsRowShown="0" headerRowDxfId="501" dataDxfId="500" tableBorderDxfId="499" dataCellStyle="Currency">
  <tableColumns count="41">
    <tableColumn id="1" name="Area of Activity_x000a_(Select this first)" dataDxfId="498"/>
    <tableColumn id="2" name="Specific Activity                                  _x000a_(Drop down only present when Area of Activity selected first - if required activity is not shown - follow guidance above)" dataDxfId="497"/>
    <tableColumn id="3" name="Duration_x000a_(Minutes)" dataDxfId="496"/>
    <tableColumn id="4" name="Undertaken by                                                _x000a_(Required field - Drop down only)" dataDxfId="495"/>
    <tableColumn id="40" name="Undertaken by _x000a_(Optional field - free text)" dataDxfId="494"/>
    <tableColumn id="5" name="Day -x to -y" dataDxfId="493"/>
    <tableColumn id="6" name="Day 0" dataDxfId="492"/>
    <tableColumn id="7" name="Column2" dataDxfId="491"/>
    <tableColumn id="8" name="Column3" dataDxfId="490"/>
    <tableColumn id="9" name="Column4" dataDxfId="489"/>
    <tableColumn id="10" name="Column5" dataDxfId="488"/>
    <tableColumn id="11" name="Column6" dataDxfId="487"/>
    <tableColumn id="12" name="Column7" dataDxfId="486"/>
    <tableColumn id="13" name="Column8" dataDxfId="485"/>
    <tableColumn id="14" name="Column9" dataDxfId="484"/>
    <tableColumn id="15" name="Column10" dataDxfId="483"/>
    <tableColumn id="16" name="Column11" dataDxfId="482"/>
    <tableColumn id="17" name="Column12" dataDxfId="481"/>
    <tableColumn id="18" name="Column13" dataDxfId="480"/>
    <tableColumn id="19" name="Column14" dataDxfId="479"/>
    <tableColumn id="20" name="Column15" dataDxfId="478"/>
    <tableColumn id="21" name="Column16" dataDxfId="477"/>
    <tableColumn id="22" name="Column17" dataDxfId="476"/>
    <tableColumn id="23" name="Column18" dataDxfId="475"/>
    <tableColumn id="24" name="Column19" dataDxfId="474"/>
    <tableColumn id="25" name="Column20" dataDxfId="473"/>
    <tableColumn id="26" name="Column21" dataDxfId="472"/>
    <tableColumn id="27" name="Column22" dataDxfId="471"/>
    <tableColumn id="28" name="Column23" dataDxfId="470"/>
    <tableColumn id="29" name="Column24" dataDxfId="469"/>
    <tableColumn id="30" name="Column25" dataDxfId="468"/>
    <tableColumn id="31" name="Column26" dataDxfId="467"/>
    <tableColumn id="32" name="Column27" dataDxfId="466"/>
    <tableColumn id="33" name="Any additional columns must be added to the left of this column." dataDxfId="465"/>
    <tableColumn id="34" name="Calculated Activity Cost" dataDxfId="464"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63" dataCellStyle="Currency">
      <calculatedColumnFormula>COUNTIF($F9:$AG9, AJ$8)*$AI9</calculatedColumnFormula>
    </tableColumn>
    <tableColumn id="36" name="Research Cost (Part B)" dataDxfId="462" dataCellStyle="Currency">
      <calculatedColumnFormula>COUNTIF($F9:$AG9, AK$8)*$AI9</calculatedColumnFormula>
    </tableColumn>
    <tableColumn id="39" name="Research Cost" dataDxfId="461" dataCellStyle="Currency">
      <calculatedColumnFormula>COUNTIF($F9:$AG9, AL$8)*$AI9</calculatedColumnFormula>
    </tableColumn>
    <tableColumn id="37" name="Service Support Cost" dataDxfId="460" dataCellStyle="Currency">
      <calculatedColumnFormula>COUNTIF($F9:$AG9, AM$8)*$AI9</calculatedColumnFormula>
    </tableColumn>
    <tableColumn id="38" name="Treatment Cost" dataDxfId="459" dataCellStyle="Currency">
      <calculatedColumnFormula>COUNTIF($F9:$AG9, AN$8)*$AI9</calculatedColumnFormula>
    </tableColumn>
    <tableColumn id="41" name="Activity Look Up - Procedure or Investigation (Hidden column)" dataDxfId="458"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9.xml><?xml version="1.0" encoding="utf-8"?>
<table xmlns="http://schemas.openxmlformats.org/spreadsheetml/2006/main" id="13" name="tbl_Part_Act61014" displayName="tbl_Part_Act61014" ref="A8:AO110" totalsRowShown="0" headerRowDxfId="454" dataDxfId="453" tableBorderDxfId="452" dataCellStyle="Currency">
  <tableColumns count="41">
    <tableColumn id="1" name="Area of Activity_x000a_(Select this first)" dataDxfId="451"/>
    <tableColumn id="2" name="Specific Activity                                  _x000a_(Drop down only present when Area of Activity selected first - if required activity is not shown - follow guidance above)" dataDxfId="450"/>
    <tableColumn id="3" name="Duration_x000a_(Minutes)" dataDxfId="449"/>
    <tableColumn id="4" name="Undertaken by                                                _x000a_(Required field - Drop down only)" dataDxfId="448"/>
    <tableColumn id="40" name="Undertaken by _x000a_(Optional field - free text)" dataDxfId="447"/>
    <tableColumn id="5" name="Day -x to -y" dataDxfId="446"/>
    <tableColumn id="6" name="Day 0" dataDxfId="445"/>
    <tableColumn id="7" name="Column2" dataDxfId="444"/>
    <tableColumn id="8" name="Column3" dataDxfId="443"/>
    <tableColumn id="9" name="Column4" dataDxfId="442"/>
    <tableColumn id="10" name="Column5" dataDxfId="441"/>
    <tableColumn id="11" name="Column6" dataDxfId="440"/>
    <tableColumn id="12" name="Column7" dataDxfId="439"/>
    <tableColumn id="13" name="Column8" dataDxfId="438"/>
    <tableColumn id="14" name="Column9" dataDxfId="437"/>
    <tableColumn id="15" name="Column10" dataDxfId="436"/>
    <tableColumn id="16" name="Column11" dataDxfId="435"/>
    <tableColumn id="17" name="Column12" dataDxfId="434"/>
    <tableColumn id="18" name="Column13" dataDxfId="433"/>
    <tableColumn id="19" name="Column14" dataDxfId="432"/>
    <tableColumn id="20" name="Column15" dataDxfId="431"/>
    <tableColumn id="21" name="Column16" dataDxfId="430"/>
    <tableColumn id="22" name="Column17" dataDxfId="429"/>
    <tableColumn id="23" name="Column18" dataDxfId="428"/>
    <tableColumn id="24" name="Column19" dataDxfId="427"/>
    <tableColumn id="25" name="Column20" dataDxfId="426"/>
    <tableColumn id="26" name="Column21" dataDxfId="425"/>
    <tableColumn id="27" name="Column22" dataDxfId="424"/>
    <tableColumn id="28" name="Column23" dataDxfId="423"/>
    <tableColumn id="29" name="Column24" dataDxfId="422"/>
    <tableColumn id="30" name="Column25" dataDxfId="421"/>
    <tableColumn id="31" name="Column26" dataDxfId="420"/>
    <tableColumn id="32" name="Column27" dataDxfId="419"/>
    <tableColumn id="33" name="Any additional columns must be added to the left of this column." dataDxfId="418"/>
    <tableColumn id="34" name="Calculated Activity Cost" dataDxfId="417"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16" dataCellStyle="Currency">
      <calculatedColumnFormula>COUNTIF($F9:$AG9, AJ$8)*$AI9</calculatedColumnFormula>
    </tableColumn>
    <tableColumn id="36" name="Research Cost (Part B)" dataDxfId="415" dataCellStyle="Currency">
      <calculatedColumnFormula>COUNTIF($F9:$AG9, AK$8)*$AI9</calculatedColumnFormula>
    </tableColumn>
    <tableColumn id="39" name="Research Cost" dataDxfId="414" dataCellStyle="Currency">
      <calculatedColumnFormula>COUNTIF($F9:$AG9, AL$8)*$AI9</calculatedColumnFormula>
    </tableColumn>
    <tableColumn id="37" name="Service Support Cost" dataDxfId="413" dataCellStyle="Currency">
      <calculatedColumnFormula>COUNTIF($F9:$AG9, AM$8)*$AI9</calculatedColumnFormula>
    </tableColumn>
    <tableColumn id="38" name="Treatment Cost" dataDxfId="412" dataCellStyle="Currency">
      <calculatedColumnFormula>COUNTIF($F9:$AG9, AN$8)*$AI9</calculatedColumnFormula>
    </tableColumn>
    <tableColumn id="41" name="Activity Look Up - Procedure or Investigation (Hidden column)" dataDxfId="411" dataCellStyle="Currency">
      <calculatedColumnFormula>INDEX('Tariff (hidden)'!$B$4:$B$133,MATCH(B9,'Tariff (hidden)'!$A$4:$A$133,0))</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yresearchproject.org.uk/Signin.aspx" TargetMode="External"/><Relationship Id="rId1" Type="http://schemas.openxmlformats.org/officeDocument/2006/relationships/hyperlink" Target="https://www.nihr.ac.uk/documents/nihr-non-commercial-partner-list/11458"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gov.uk/government/publications/guidance-on-attributing-the-costs-of-health-and-social-care-research" TargetMode="External"/><Relationship Id="rId1" Type="http://schemas.openxmlformats.org/officeDocument/2006/relationships/hyperlink" Target="https://www.gov.uk/government/publications/guidance-on-attributing-the-costs-of-health-and-social-care-research"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pageSetUpPr fitToPage="1"/>
  </sheetPr>
  <dimension ref="A3:D43"/>
  <sheetViews>
    <sheetView showGridLines="0" topLeftCell="A20" zoomScaleNormal="100" workbookViewId="0">
      <selection activeCell="B23" sqref="B23"/>
    </sheetView>
  </sheetViews>
  <sheetFormatPr defaultRowHeight="15" x14ac:dyDescent="0.25"/>
  <cols>
    <col min="1" max="1" width="36.28515625" style="1" customWidth="1"/>
    <col min="2" max="2" width="49.7109375" customWidth="1"/>
    <col min="3" max="3" width="19.140625" customWidth="1"/>
    <col min="4" max="4" width="54.28515625" customWidth="1"/>
  </cols>
  <sheetData>
    <row r="3" spans="1:4" ht="19.5" customHeight="1" x14ac:dyDescent="0.25"/>
    <row r="5" spans="1:4" s="27" customFormat="1" x14ac:dyDescent="0.25">
      <c r="A5" s="1"/>
    </row>
    <row r="6" spans="1:4" ht="187.35" customHeight="1" x14ac:dyDescent="0.25"/>
    <row r="7" spans="1:4" ht="39.950000000000003" customHeight="1" x14ac:dyDescent="0.25">
      <c r="A7" s="155" t="s">
        <v>254</v>
      </c>
      <c r="B7">
        <v>281958</v>
      </c>
    </row>
    <row r="8" spans="1:4" ht="17.25" customHeight="1" x14ac:dyDescent="0.25">
      <c r="A8" s="5"/>
      <c r="B8" s="464"/>
    </row>
    <row r="9" spans="1:4" x14ac:dyDescent="0.25">
      <c r="A9" s="63" t="s">
        <v>173</v>
      </c>
      <c r="B9" s="73" t="s">
        <v>693</v>
      </c>
    </row>
    <row r="10" spans="1:4" ht="15" customHeight="1" x14ac:dyDescent="0.25">
      <c r="A10" s="5"/>
      <c r="B10" s="74"/>
    </row>
    <row r="11" spans="1:4" ht="63.75" customHeight="1" x14ac:dyDescent="0.25">
      <c r="A11" s="469" t="s">
        <v>507</v>
      </c>
      <c r="B11" s="57" t="s">
        <v>600</v>
      </c>
    </row>
    <row r="12" spans="1:4" ht="15" customHeight="1" x14ac:dyDescent="0.25">
      <c r="A12" s="5"/>
      <c r="B12" s="74"/>
    </row>
    <row r="13" spans="1:4" x14ac:dyDescent="0.25">
      <c r="A13" s="62" t="s">
        <v>223</v>
      </c>
      <c r="B13" s="57" t="s">
        <v>699</v>
      </c>
    </row>
    <row r="14" spans="1:4" ht="15" customHeight="1" x14ac:dyDescent="0.25">
      <c r="A14" s="5"/>
      <c r="B14" s="74"/>
    </row>
    <row r="15" spans="1:4" ht="45" customHeight="1" x14ac:dyDescent="0.25">
      <c r="A15" s="62" t="s">
        <v>224</v>
      </c>
      <c r="B15" s="519">
        <v>2</v>
      </c>
      <c r="D15" s="526" t="str">
        <f>IF(Number_of_Study_Arms&gt;5,"Please go to the CRN website to download the SoECAT template B, which is suitable for studies with upto 15 arms","")</f>
        <v/>
      </c>
    </row>
    <row r="16" spans="1:4" x14ac:dyDescent="0.25">
      <c r="A16" s="4"/>
      <c r="B16" s="75"/>
    </row>
    <row r="17" spans="1:3" ht="45" customHeight="1" x14ac:dyDescent="0.25">
      <c r="A17" s="62" t="s">
        <v>225</v>
      </c>
      <c r="B17" s="57" t="s">
        <v>694</v>
      </c>
    </row>
    <row r="18" spans="1:3" x14ac:dyDescent="0.25">
      <c r="B18" s="75"/>
    </row>
    <row r="19" spans="1:3" ht="45" customHeight="1" x14ac:dyDescent="0.25">
      <c r="A19" s="62" t="s">
        <v>589</v>
      </c>
      <c r="B19" s="523">
        <v>43915</v>
      </c>
    </row>
    <row r="20" spans="1:3" x14ac:dyDescent="0.25">
      <c r="B20" s="524"/>
    </row>
    <row r="21" spans="1:3" ht="45" customHeight="1" x14ac:dyDescent="0.25">
      <c r="A21" s="490" t="s">
        <v>590</v>
      </c>
      <c r="B21" s="525">
        <v>44651</v>
      </c>
    </row>
    <row r="22" spans="1:3" s="6" customFormat="1" ht="15" customHeight="1" x14ac:dyDescent="0.25">
      <c r="A22" s="492"/>
      <c r="B22" s="493"/>
    </row>
    <row r="23" spans="1:3" s="27" customFormat="1" ht="45" customHeight="1" x14ac:dyDescent="0.25">
      <c r="A23" s="490" t="s">
        <v>591</v>
      </c>
      <c r="B23" s="494">
        <f>IF(Planned_Start_Date="", "",DATEDIF(Planned_Start_Date,Planned_End_Date+1,"m"))</f>
        <v>24</v>
      </c>
    </row>
    <row r="24" spans="1:3" s="470" customFormat="1" ht="12.75" customHeight="1" x14ac:dyDescent="0.25">
      <c r="A24" s="492"/>
      <c r="B24" s="491"/>
    </row>
    <row r="25" spans="1:3" s="27" customFormat="1" ht="29.25" customHeight="1" x14ac:dyDescent="0.25">
      <c r="A25" s="490" t="s">
        <v>612</v>
      </c>
      <c r="B25" s="484">
        <v>300</v>
      </c>
    </row>
    <row r="26" spans="1:3" s="27" customFormat="1" ht="15" customHeight="1" x14ac:dyDescent="0.25">
      <c r="A26" s="452"/>
      <c r="B26" s="451"/>
    </row>
    <row r="27" spans="1:3" s="27" customFormat="1" ht="28.5" customHeight="1" x14ac:dyDescent="0.25">
      <c r="A27" s="587" t="s">
        <v>592</v>
      </c>
      <c r="B27" s="588"/>
      <c r="C27" s="588"/>
    </row>
    <row r="28" spans="1:3" s="27" customFormat="1" ht="42.75" x14ac:dyDescent="0.25">
      <c r="A28" s="453" t="s">
        <v>610</v>
      </c>
      <c r="B28" s="589"/>
      <c r="C28" s="589"/>
    </row>
    <row r="29" spans="1:3" s="27" customFormat="1" x14ac:dyDescent="0.25">
      <c r="A29" s="1"/>
      <c r="B29" s="470"/>
    </row>
    <row r="30" spans="1:3" ht="28.7" customHeight="1" x14ac:dyDescent="0.25">
      <c r="A30" s="590" t="s">
        <v>662</v>
      </c>
      <c r="B30" s="591"/>
      <c r="C30" s="531" t="s">
        <v>684</v>
      </c>
    </row>
    <row r="31" spans="1:3" s="27" customFormat="1" ht="28.7" customHeight="1" x14ac:dyDescent="0.25">
      <c r="A31" s="592" t="s">
        <v>663</v>
      </c>
      <c r="B31" s="592"/>
      <c r="C31" s="573"/>
    </row>
    <row r="32" spans="1:3" s="27" customFormat="1" ht="55.35" customHeight="1" x14ac:dyDescent="0.25">
      <c r="A32" s="585" t="s">
        <v>685</v>
      </c>
      <c r="B32" s="586"/>
      <c r="C32" s="573"/>
    </row>
    <row r="33" spans="1:4" s="27" customFormat="1" ht="47.65" customHeight="1" x14ac:dyDescent="0.25">
      <c r="A33" s="585" t="s">
        <v>686</v>
      </c>
      <c r="B33" s="586"/>
      <c r="C33" s="573"/>
      <c r="D33" s="532"/>
    </row>
    <row r="34" spans="1:4" ht="31.7" customHeight="1" x14ac:dyDescent="0.25">
      <c r="A34" s="585" t="s">
        <v>661</v>
      </c>
      <c r="B34" s="586"/>
      <c r="C34" s="573"/>
    </row>
    <row r="35" spans="1:4" x14ac:dyDescent="0.25">
      <c r="A35" s="454" t="s">
        <v>664</v>
      </c>
      <c r="B35" s="563"/>
      <c r="C35" s="565"/>
    </row>
    <row r="36" spans="1:4" x14ac:dyDescent="0.25">
      <c r="A36" s="454" t="s">
        <v>583</v>
      </c>
      <c r="B36" s="564"/>
      <c r="C36" s="566"/>
    </row>
    <row r="37" spans="1:4" s="27" customFormat="1" ht="29.25" x14ac:dyDescent="0.25">
      <c r="A37" s="561" t="s">
        <v>678</v>
      </c>
      <c r="B37" s="570"/>
      <c r="C37" s="567"/>
    </row>
    <row r="38" spans="1:4" x14ac:dyDescent="0.25">
      <c r="A38" s="67"/>
      <c r="B38" s="470"/>
      <c r="C38" s="58"/>
    </row>
    <row r="39" spans="1:4" x14ac:dyDescent="0.25">
      <c r="A39" s="455" t="s">
        <v>611</v>
      </c>
      <c r="B39" s="571"/>
      <c r="C39" s="568"/>
    </row>
    <row r="40" spans="1:4" x14ac:dyDescent="0.25">
      <c r="B40" s="470"/>
      <c r="C40" s="58"/>
    </row>
    <row r="41" spans="1:4" x14ac:dyDescent="0.25">
      <c r="A41" s="454" t="s">
        <v>690</v>
      </c>
      <c r="B41" s="563"/>
      <c r="C41" s="565"/>
    </row>
    <row r="42" spans="1:4" x14ac:dyDescent="0.25">
      <c r="A42" s="454" t="s">
        <v>593</v>
      </c>
      <c r="B42" s="563"/>
      <c r="C42" s="565"/>
    </row>
    <row r="43" spans="1:4" x14ac:dyDescent="0.25">
      <c r="A43" s="454" t="s">
        <v>584</v>
      </c>
      <c r="B43" s="562"/>
      <c r="C43" s="569"/>
    </row>
  </sheetData>
  <sheetProtection algorithmName="SHA-512" hashValue="bqt4PxdCBfH8L5EOQDJFEMqkhprDOdmU2m2f4pQRDk1ODl7VRK/xdrHZSFOLYCdh6ODgtB10EBkvt2K9AcExdg==" saltValue="F/N8sR/j/YNJrdruzZCPIw==" spinCount="100000" sheet="1" objects="1" scenarios="1"/>
  <protectedRanges>
    <protectedRange sqref="B23:B27" name="Question 10"/>
    <protectedRange sqref="B21:B22" name="Question 9"/>
    <protectedRange sqref="B19" name="Question 8"/>
    <protectedRange sqref="B28" name="Question 7"/>
    <protectedRange sqref="B17" name="Question 6"/>
    <protectedRange sqref="B13" name="Question 4"/>
    <protectedRange sqref="B11" name="Question 3"/>
    <protectedRange sqref="B15" name="Question 5"/>
    <protectedRange sqref="B9" name="Question 2"/>
    <protectedRange sqref="B7" name="Question 1"/>
  </protectedRanges>
  <mergeCells count="7">
    <mergeCell ref="A32:B32"/>
    <mergeCell ref="A33:B33"/>
    <mergeCell ref="A34:B34"/>
    <mergeCell ref="A27:C27"/>
    <mergeCell ref="B28:C28"/>
    <mergeCell ref="A30:B30"/>
    <mergeCell ref="A31:B31"/>
  </mergeCells>
  <conditionalFormatting sqref="B23">
    <cfRule type="containsErrors" dxfId="806" priority="1">
      <formula>ISERROR(B23)</formula>
    </cfRule>
  </conditionalFormatting>
  <dataValidations count="8">
    <dataValidation type="list" allowBlank="1" showInputMessage="1" showErrorMessage="1" sqref="B28">
      <formula1>LCRN</formula1>
    </dataValidation>
    <dataValidation type="date" allowBlank="1" showInputMessage="1" showErrorMessage="1" sqref="B19">
      <formula1>41640</formula1>
      <formula2>60998</formula2>
    </dataValidation>
    <dataValidation type="date" allowBlank="1" showInputMessage="1" showErrorMessage="1" sqref="B21:B22">
      <formula1>B19</formula1>
      <formula2>60998</formula2>
    </dataValidation>
    <dataValidation type="list" allowBlank="1" showInputMessage="1" showErrorMessage="1" sqref="B41">
      <formula1>Question_12</formula1>
    </dataValidation>
    <dataValidation type="whole" allowBlank="1" showInputMessage="1" showErrorMessage="1" sqref="B25">
      <formula1>1</formula1>
      <formula2>50000</formula2>
    </dataValidation>
    <dataValidation type="decimal" allowBlank="1" showInputMessage="1" showErrorMessage="1" sqref="B24">
      <formula1>0</formula1>
      <formula2>50000</formula2>
    </dataValidation>
    <dataValidation type="textLength" allowBlank="1" showInputMessage="1" showErrorMessage="1" sqref="B37:C37">
      <formula1>0</formula1>
      <formula2>800</formula2>
    </dataValidation>
    <dataValidation type="list" allowBlank="1" showInputMessage="1" showErrorMessage="1" sqref="C31:C34">
      <formula1>"yes, no"</formula1>
    </dataValidation>
  </dataValidations>
  <hyperlinks>
    <hyperlink ref="A11" r:id="rId1"/>
    <hyperlink ref="A7" r:id="rId2"/>
  </hyperlinks>
  <pageMargins left="0.7" right="0.7" top="0.75" bottom="0.75" header="0.3" footer="0.3"/>
  <pageSetup paperSize="9"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'Menu Data (hidden)'!$A$150:$A$151</xm:f>
          </x14:formula1>
          <xm:sqref>B11</xm:sqref>
        </x14:dataValidation>
        <x14:dataValidation type="list" allowBlank="1" showInputMessage="1" showErrorMessage="1">
          <x14:formula1>
            <xm:f>'Menu Data (hidden)'!$A$48:$A$51</xm:f>
          </x14:formula1>
          <xm:sqref>B39</xm:sqref>
        </x14:dataValidation>
        <x14:dataValidation type="list" allowBlank="1" showInputMessage="1" showErrorMessage="1">
          <x14:formula1>
            <xm:f>'Menu Data (hidden)'!$A$157:$A$171</xm:f>
          </x14:formula1>
          <xm:sqref>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A110"/>
  <sheetViews>
    <sheetView showGridLines="0" zoomScaleNormal="10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624</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541"/>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557"/>
      <c r="E10" s="544"/>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Arm7'!D10,Staff_Costs[[#All],[Role]],0),MATCH("Per-minute cost",Staff_Costs[#Headers],0))*'Per-Participant Activities Arm7'!C10)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557"/>
      <c r="E11" s="544"/>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Arm7'!D11,Staff_Costs[[#All],[Role]],0),MATCH("Per-minute cost",Staff_Costs[#Headers],0))*'Per-Participant Activities Arm7'!C11)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557"/>
      <c r="E12" s="544"/>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Arm7'!D12,Staff_Costs[[#All],[Role]],0),MATCH("Per-minute cost",Staff_Costs[#Headers],0))*'Per-Participant Activities Arm7'!C12)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557"/>
      <c r="E13" s="544"/>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Arm7'!D13,Staff_Costs[[#All],[Role]],0),MATCH("Per-minute cost",Staff_Costs[#Headers],0))*'Per-Participant Activities Arm7'!C13)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557"/>
      <c r="E14" s="544"/>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Arm7'!D14,Staff_Costs[[#All],[Role]],0),MATCH("Per-minute cost",Staff_Costs[#Headers],0))*'Per-Participant Activities Arm7'!C14)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557"/>
      <c r="E15" s="544"/>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Arm7'!D15,Staff_Costs[[#All],[Role]],0),MATCH("Per-minute cost",Staff_Costs[#Headers],0))*'Per-Participant Activities Arm7'!C15)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557"/>
      <c r="E16" s="544"/>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Arm7'!D16,Staff_Costs[[#All],[Role]],0),MATCH("Per-minute cost",Staff_Costs[#Headers],0))*'Per-Participant Activities Arm7'!C16)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557"/>
      <c r="E17" s="544"/>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Arm7'!D17,Staff_Costs[[#All],[Role]],0),MATCH("Per-minute cost",Staff_Costs[#Headers],0))*'Per-Participant Activities Arm7'!C17)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557"/>
      <c r="E18" s="544"/>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Arm7'!D18,Staff_Costs[[#All],[Role]],0),MATCH("Per-minute cost",Staff_Costs[#Headers],0))*'Per-Participant Activities Arm7'!C18)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557"/>
      <c r="E19" s="54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Arm7'!D19,Staff_Costs[[#All],[Role]],0),MATCH("Per-minute cost",Staff_Costs[#Headers],0))*'Per-Participant Activities Arm7'!C19)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557"/>
      <c r="E20" s="54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Arm7'!D20,Staff_Costs[[#All],[Role]],0),MATCH("Per-minute cost",Staff_Costs[#Headers],0))*'Per-Participant Activities Arm7'!C20)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557"/>
      <c r="E21" s="54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Arm7'!D21,Staff_Costs[[#All],[Role]],0),MATCH("Per-minute cost",Staff_Costs[#Headers],0))*'Per-Participant Activities Arm7'!C21)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557"/>
      <c r="E22" s="54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Arm7'!D22,Staff_Costs[[#All],[Role]],0),MATCH("Per-minute cost",Staff_Costs[#Headers],0))*'Per-Participant Activities Arm7'!C22)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557"/>
      <c r="E23" s="54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Arm7'!D23,Staff_Costs[[#All],[Role]],0),MATCH("Per-minute cost",Staff_Costs[#Headers],0))*'Per-Participant Activities Arm7'!C23)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557"/>
      <c r="E24" s="54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Arm7'!D24,Staff_Costs[[#All],[Role]],0),MATCH("Per-minute cost",Staff_Costs[#Headers],0))*'Per-Participant Activities Arm7'!C24)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557"/>
      <c r="E25" s="54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Arm7'!D25,Staff_Costs[[#All],[Role]],0),MATCH("Per-minute cost",Staff_Costs[#Headers],0))*'Per-Participant Activities Arm7'!C25)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557"/>
      <c r="E26" s="54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Arm7'!D26,Staff_Costs[[#All],[Role]],0),MATCH("Per-minute cost",Staff_Costs[#Headers],0))*'Per-Participant Activities Arm7'!C26)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557"/>
      <c r="E27" s="54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Arm7'!D27,Staff_Costs[[#All],[Role]],0),MATCH("Per-minute cost",Staff_Costs[#Headers],0))*'Per-Participant Activities Arm7'!C27)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557"/>
      <c r="E28" s="54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Arm7'!D28,Staff_Costs[[#All],[Role]],0),MATCH("Per-minute cost",Staff_Costs[#Headers],0))*'Per-Participant Activities Arm7'!C28)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557"/>
      <c r="E29" s="54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Arm7'!D29,Staff_Costs[[#All],[Role]],0),MATCH("Per-minute cost",Staff_Costs[#Headers],0))*'Per-Participant Activities Arm7'!C29)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557"/>
      <c r="E30" s="54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Arm7'!D30,Staff_Costs[[#All],[Role]],0),MATCH("Per-minute cost",Staff_Costs[#Headers],0))*'Per-Participant Activities Arm7'!C30)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557"/>
      <c r="E31" s="54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Arm7'!D31,Staff_Costs[[#All],[Role]],0),MATCH("Per-minute cost",Staff_Costs[#Headers],0))*'Per-Participant Activities Arm7'!C31)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557"/>
      <c r="E32" s="54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Arm7'!D32,Staff_Costs[[#All],[Role]],0),MATCH("Per-minute cost",Staff_Costs[#Headers],0))*'Per-Participant Activities Arm7'!C32)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557"/>
      <c r="E33" s="54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Arm7'!D33,Staff_Costs[[#All],[Role]],0),MATCH("Per-minute cost",Staff_Costs[#Headers],0))*'Per-Participant Activities Arm7'!C33)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557"/>
      <c r="E34" s="54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Arm7'!D34,Staff_Costs[[#All],[Role]],0),MATCH("Per-minute cost",Staff_Costs[#Headers],0))*'Per-Participant Activities Arm7'!C34)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557"/>
      <c r="E35" s="54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Arm7'!D35,Staff_Costs[[#All],[Role]],0),MATCH("Per-minute cost",Staff_Costs[#Headers],0))*'Per-Participant Activities Arm7'!C35)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557"/>
      <c r="E36" s="54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Arm7'!D36,Staff_Costs[[#All],[Role]],0),MATCH("Per-minute cost",Staff_Costs[#Headers],0))*'Per-Participant Activities Arm7'!C36)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557"/>
      <c r="E37" s="54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Arm7'!D37,Staff_Costs[[#All],[Role]],0),MATCH("Per-minute cost",Staff_Costs[#Headers],0))*'Per-Participant Activities Arm7'!C37)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557"/>
      <c r="E38" s="54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Arm7'!D38,Staff_Costs[[#All],[Role]],0),MATCH("Per-minute cost",Staff_Costs[#Headers],0))*'Per-Participant Activities Arm7'!C38)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557"/>
      <c r="E39" s="54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Arm7'!D39,Staff_Costs[[#All],[Role]],0),MATCH("Per-minute cost",Staff_Costs[#Headers],0))*'Per-Participant Activities Arm7'!C39)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557"/>
      <c r="E40" s="54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Arm7'!D40,Staff_Costs[[#All],[Role]],0),MATCH("Per-minute cost",Staff_Costs[#Headers],0))*'Per-Participant Activities Arm7'!C40)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557"/>
      <c r="E41" s="54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Arm7'!D41,Staff_Costs[[#All],[Role]],0),MATCH("Per-minute cost",Staff_Costs[#Headers],0))*'Per-Participant Activities Arm7'!C41)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557"/>
      <c r="E42" s="54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Arm7'!D42,Staff_Costs[[#All],[Role]],0),MATCH("Per-minute cost",Staff_Costs[#Headers],0))*'Per-Participant Activities Arm7'!C42)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557"/>
      <c r="E43" s="54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Arm7'!D43,Staff_Costs[[#All],[Role]],0),MATCH("Per-minute cost",Staff_Costs[#Headers],0))*'Per-Participant Activities Arm7'!C43)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557"/>
      <c r="E44" s="54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Arm7'!D44,Staff_Costs[[#All],[Role]],0),MATCH("Per-minute cost",Staff_Costs[#Headers],0))*'Per-Participant Activities Arm7'!C44)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557"/>
      <c r="E45" s="54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Arm7'!D45,Staff_Costs[[#All],[Role]],0),MATCH("Per-minute cost",Staff_Costs[#Headers],0))*'Per-Participant Activities Arm7'!C45)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557"/>
      <c r="E46" s="54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Arm7'!D46,Staff_Costs[[#All],[Role]],0),MATCH("Per-minute cost",Staff_Costs[#Headers],0))*'Per-Participant Activities Arm7'!C46)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557"/>
      <c r="E47" s="54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Arm7'!D47,Staff_Costs[[#All],[Role]],0),MATCH("Per-minute cost",Staff_Costs[#Headers],0))*'Per-Participant Activities Arm7'!C47)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557"/>
      <c r="E48" s="54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Arm7'!D48,Staff_Costs[[#All],[Role]],0),MATCH("Per-minute cost",Staff_Costs[#Headers],0))*'Per-Participant Activities Arm7'!C48)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557"/>
      <c r="E49" s="54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Arm7'!D49,Staff_Costs[[#All],[Role]],0),MATCH("Per-minute cost",Staff_Costs[#Headers],0))*'Per-Participant Activities Arm7'!C49)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557"/>
      <c r="E50" s="54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Arm7'!D50,Staff_Costs[[#All],[Role]],0),MATCH("Per-minute cost",Staff_Costs[#Headers],0))*'Per-Participant Activities Arm7'!C50)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557"/>
      <c r="E51" s="54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Arm7'!D51,Staff_Costs[[#All],[Role]],0),MATCH("Per-minute cost",Staff_Costs[#Headers],0))*'Per-Participant Activities Arm7'!C51)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557"/>
      <c r="E52" s="54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Arm7'!D52,Staff_Costs[[#All],[Role]],0),MATCH("Per-minute cost",Staff_Costs[#Headers],0))*'Per-Participant Activities Arm7'!C52)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557"/>
      <c r="E53" s="54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Arm7'!D53,Staff_Costs[[#All],[Role]],0),MATCH("Per-minute cost",Staff_Costs[#Headers],0))*'Per-Participant Activities Arm7'!C53)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557"/>
      <c r="E54" s="54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Arm7'!D54,Staff_Costs[[#All],[Role]],0),MATCH("Per-minute cost",Staff_Costs[#Headers],0))*'Per-Participant Activities Arm7'!C54)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557"/>
      <c r="E55" s="54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Arm7'!D55,Staff_Costs[[#All],[Role]],0),MATCH("Per-minute cost",Staff_Costs[#Headers],0))*'Per-Participant Activities Arm7'!C55)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557"/>
      <c r="E56" s="54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Arm7'!D56,Staff_Costs[[#All],[Role]],0),MATCH("Per-minute cost",Staff_Costs[#Headers],0))*'Per-Participant Activities Arm7'!C56)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557"/>
      <c r="E57" s="54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Arm7'!D57,Staff_Costs[[#All],[Role]],0),MATCH("Per-minute cost",Staff_Costs[#Headers],0))*'Per-Participant Activities Arm7'!C57)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557"/>
      <c r="E58" s="54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Arm7'!D58,Staff_Costs[[#All],[Role]],0),MATCH("Per-minute cost",Staff_Costs[#Headers],0))*'Per-Participant Activities Arm7'!C58)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557"/>
      <c r="E59" s="54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Arm7'!D59,Staff_Costs[[#All],[Role]],0),MATCH("Per-minute cost",Staff_Costs[#Headers],0))*'Per-Participant Activities Arm7'!C59)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557"/>
      <c r="E60" s="54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Arm7'!D60,Staff_Costs[[#All],[Role]],0),MATCH("Per-minute cost",Staff_Costs[#Headers],0))*'Per-Participant Activities Arm7'!C60)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557"/>
      <c r="E61" s="54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Arm7'!D61,Staff_Costs[[#All],[Role]],0),MATCH("Per-minute cost",Staff_Costs[#Headers],0))*'Per-Participant Activities Arm7'!C61)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557"/>
      <c r="E62" s="54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Arm7'!D62,Staff_Costs[[#All],[Role]],0),MATCH("Per-minute cost",Staff_Costs[#Headers],0))*'Per-Participant Activities Arm7'!C62)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557"/>
      <c r="E63" s="54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Arm7'!D63,Staff_Costs[[#All],[Role]],0),MATCH("Per-minute cost",Staff_Costs[#Headers],0))*'Per-Participant Activities Arm7'!C63)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557"/>
      <c r="E64" s="544"/>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Arm7'!D64,Staff_Costs[[#All],[Role]],0),MATCH("Per-minute cost",Staff_Costs[#Headers],0))*'Per-Participant Activities Arm7'!C64)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557"/>
      <c r="E65" s="544"/>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Arm7'!D65,Staff_Costs[[#All],[Role]],0),MATCH("Per-minute cost",Staff_Costs[#Headers],0))*'Per-Participant Activities Arm7'!C65)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557"/>
      <c r="E66" s="544"/>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Arm7'!D66,Staff_Costs[[#All],[Role]],0),MATCH("Per-minute cost",Staff_Costs[#Headers],0))*'Per-Participant Activities Arm7'!C66)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557"/>
      <c r="E67" s="544"/>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Arm7'!D67,Staff_Costs[[#All],[Role]],0),MATCH("Per-minute cost",Staff_Costs[#Headers],0))*'Per-Participant Activities Arm7'!C67)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557"/>
      <c r="E68" s="544"/>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Arm7'!D68,Staff_Costs[[#All],[Role]],0),MATCH("Per-minute cost",Staff_Costs[#Headers],0))*'Per-Participant Activities Arm7'!C68)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557"/>
      <c r="E69" s="544"/>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Arm7'!D69,Staff_Costs[[#All],[Role]],0),MATCH("Per-minute cost",Staff_Costs[#Headers],0))*'Per-Participant Activities Arm7'!C69)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557"/>
      <c r="E70" s="544"/>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Arm7'!D70,Staff_Costs[[#All],[Role]],0),MATCH("Per-minute cost",Staff_Costs[#Headers],0))*'Per-Participant Activities Arm7'!C70)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557"/>
      <c r="E71" s="544"/>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Arm7'!D71,Staff_Costs[[#All],[Role]],0),MATCH("Per-minute cost",Staff_Costs[#Headers],0))*'Per-Participant Activities Arm7'!C71)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557"/>
      <c r="E72" s="544"/>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Arm7'!D72,Staff_Costs[[#All],[Role]],0),MATCH("Per-minute cost",Staff_Costs[#Headers],0))*'Per-Participant Activities Arm7'!C72)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557"/>
      <c r="E73" s="544"/>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Arm7'!D73,Staff_Costs[[#All],[Role]],0),MATCH("Per-minute cost",Staff_Costs[#Headers],0))*'Per-Participant Activities Arm7'!C73)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557"/>
      <c r="E74" s="544"/>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Arm7'!D74,Staff_Costs[[#All],[Role]],0),MATCH("Per-minute cost",Staff_Costs[#Headers],0))*'Per-Participant Activities Arm7'!C74)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557"/>
      <c r="E75" s="544"/>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Arm7'!D75,Staff_Costs[[#All],[Role]],0),MATCH("Per-minute cost",Staff_Costs[#Headers],0))*'Per-Participant Activities Arm7'!C75)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557"/>
      <c r="E76" s="544"/>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Arm7'!D76,Staff_Costs[[#All],[Role]],0),MATCH("Per-minute cost",Staff_Costs[#Headers],0))*'Per-Participant Activities Arm7'!C76)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557"/>
      <c r="E77" s="544"/>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Arm7'!D77,Staff_Costs[[#All],[Role]],0),MATCH("Per-minute cost",Staff_Costs[#Headers],0))*'Per-Participant Activities Arm7'!C77)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557"/>
      <c r="E78" s="544"/>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Arm7'!D78,Staff_Costs[[#All],[Role]],0),MATCH("Per-minute cost",Staff_Costs[#Headers],0))*'Per-Participant Activities Arm7'!C78)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557"/>
      <c r="E79" s="544"/>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Arm7'!D79,Staff_Costs[[#All],[Role]],0),MATCH("Per-minute cost",Staff_Costs[#Headers],0))*'Per-Participant Activities Arm7'!C79)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557"/>
      <c r="E80" s="544"/>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Arm7'!D80,Staff_Costs[[#All],[Role]],0),MATCH("Per-minute cost",Staff_Costs[#Headers],0))*'Per-Participant Activities Arm7'!C80)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557"/>
      <c r="E81" s="544"/>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Arm7'!D81,Staff_Costs[[#All],[Role]],0),MATCH("Per-minute cost",Staff_Costs[#Headers],0))*'Per-Participant Activities Arm7'!C81)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557"/>
      <c r="E82" s="544"/>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Arm7'!D82,Staff_Costs[[#All],[Role]],0),MATCH("Per-minute cost",Staff_Costs[#Headers],0))*'Per-Participant Activities Arm7'!C82)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557"/>
      <c r="E83" s="544"/>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Arm7'!D83,Staff_Costs[[#All],[Role]],0),MATCH("Per-minute cost",Staff_Costs[#Headers],0))*'Per-Participant Activities Arm7'!C83)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557"/>
      <c r="E84" s="544"/>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Arm7'!D84,Staff_Costs[[#All],[Role]],0),MATCH("Per-minute cost",Staff_Costs[#Headers],0))*'Per-Participant Activities Arm7'!C84)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557"/>
      <c r="E85" s="544"/>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Arm7'!D85,Staff_Costs[[#All],[Role]],0),MATCH("Per-minute cost",Staff_Costs[#Headers],0))*'Per-Participant Activities Arm7'!C85)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557"/>
      <c r="E86" s="544"/>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Arm7'!D86,Staff_Costs[[#All],[Role]],0),MATCH("Per-minute cost",Staff_Costs[#Headers],0))*'Per-Participant Activities Arm7'!C86)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557"/>
      <c r="E87" s="544"/>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Arm7'!D87,Staff_Costs[[#All],[Role]],0),MATCH("Per-minute cost",Staff_Costs[#Headers],0))*'Per-Participant Activities Arm7'!C87)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557"/>
      <c r="E88" s="544"/>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Arm7'!D88,Staff_Costs[[#All],[Role]],0),MATCH("Per-minute cost",Staff_Costs[#Headers],0))*'Per-Participant Activities Arm7'!C88)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557"/>
      <c r="E89" s="544"/>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Arm7'!D89,Staff_Costs[[#All],[Role]],0),MATCH("Per-minute cost",Staff_Costs[#Headers],0))*'Per-Participant Activities Arm7'!C89)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557"/>
      <c r="E90" s="544"/>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Arm7'!D90,Staff_Costs[[#All],[Role]],0),MATCH("Per-minute cost",Staff_Costs[#Headers],0))*'Per-Participant Activities Arm7'!C90)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557"/>
      <c r="E91" s="544"/>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Arm7'!D91,Staff_Costs[[#All],[Role]],0),MATCH("Per-minute cost",Staff_Costs[#Headers],0))*'Per-Participant Activities Arm7'!C91)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557"/>
      <c r="E92" s="544"/>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Arm7'!D92,Staff_Costs[[#All],[Role]],0),MATCH("Per-minute cost",Staff_Costs[#Headers],0))*'Per-Participant Activities Arm7'!C92)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557"/>
      <c r="E93" s="544"/>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Arm7'!D93,Staff_Costs[[#All],[Role]],0),MATCH("Per-minute cost",Staff_Costs[#Headers],0))*'Per-Participant Activities Arm7'!C93)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557"/>
      <c r="E94" s="544"/>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Arm7'!D94,Staff_Costs[[#All],[Role]],0),MATCH("Per-minute cost",Staff_Costs[#Headers],0))*'Per-Participant Activities Arm7'!C94)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557"/>
      <c r="E95" s="544"/>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Arm7'!D95,Staff_Costs[[#All],[Role]],0),MATCH("Per-minute cost",Staff_Costs[#Headers],0))*'Per-Participant Activities Arm7'!C95)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557"/>
      <c r="E96" s="544"/>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Arm7'!D96,Staff_Costs[[#All],[Role]],0),MATCH("Per-minute cost",Staff_Costs[#Headers],0))*'Per-Participant Activities Arm7'!C96)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557"/>
      <c r="E97" s="544"/>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Arm7'!D97,Staff_Costs[[#All],[Role]],0),MATCH("Per-minute cost",Staff_Costs[#Headers],0))*'Per-Participant Activities Arm7'!C97)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557"/>
      <c r="E98" s="544"/>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Arm7'!D98,Staff_Costs[[#All],[Role]],0),MATCH("Per-minute cost",Staff_Costs[#Headers],0))*'Per-Participant Activities Arm7'!C98)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557"/>
      <c r="E99" s="544"/>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Arm7'!D99,Staff_Costs[[#All],[Role]],0),MATCH("Per-minute cost",Staff_Costs[#Headers],0))*'Per-Participant Activities Arm7'!C99)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557"/>
      <c r="E100" s="544"/>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Arm7'!D100,Staff_Costs[[#All],[Role]],0),MATCH("Per-minute cost",Staff_Costs[#Headers],0))*'Per-Participant Activities Arm7'!C100)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557"/>
      <c r="E101" s="544"/>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Arm7'!D101,Staff_Costs[[#All],[Role]],0),MATCH("Per-minute cost",Staff_Costs[#Headers],0))*'Per-Participant Activities Arm7'!C101)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557"/>
      <c r="E102" s="544"/>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Arm7'!D102,Staff_Costs[[#All],[Role]],0),MATCH("Per-minute cost",Staff_Costs[#Headers],0))*'Per-Participant Activities Arm7'!C102)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557"/>
      <c r="E103" s="544"/>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Arm7'!D103,Staff_Costs[[#All],[Role]],0),MATCH("Per-minute cost",Staff_Costs[#Headers],0))*'Per-Participant Activities Arm7'!C103)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557"/>
      <c r="E104" s="544"/>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Arm7'!D104,Staff_Costs[[#All],[Role]],0),MATCH("Per-minute cost",Staff_Costs[#Headers],0))*'Per-Participant Activities Arm7'!C104)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557"/>
      <c r="E105" s="544"/>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Arm7'!D105,Staff_Costs[[#All],[Role]],0),MATCH("Per-minute cost",Staff_Costs[#Headers],0))*'Per-Participant Activities Arm7'!C105)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557"/>
      <c r="E106" s="544"/>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Arm7'!D106,Staff_Costs[[#All],[Role]],0),MATCH("Per-minute cost",Staff_Costs[#Headers],0))*'Per-Participant Activities Arm7'!C106)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557"/>
      <c r="E107" s="544"/>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Arm7'!D107,Staff_Costs[[#All],[Role]],0),MATCH("Per-minute cost",Staff_Costs[#Headers],0))*'Per-Participant Activities Arm7'!C107)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557"/>
      <c r="E108" s="544"/>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Arm7'!D108,Staff_Costs[[#All],[Role]],0),MATCH("Per-minute cost",Staff_Costs[#Headers],0))*'Per-Participant Activities Arm7'!C108)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557"/>
      <c r="E109" s="544"/>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Arm7'!D109,Staff_Costs[[#All],[Role]],0),MATCH("Per-minute cost",Staff_Costs[#Headers],0))*'Per-Participant Activities Arm7'!C109)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540"/>
      <c r="E110" s="544"/>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Arm7'!D110,Staff_Costs[[#All],[Role]],0),MATCH("Per-minute cost",Staff_Costs[#Headers],0))*'Per-Participant Activities Arm7'!C110)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FDAGq538KgDGl44/KQM2XMyYL7K/ou+i1UyNJ+YGALnZsIJxUztAQa2Gttq/JqGRf3uLXtJ7SfMXdQtxcMqSPg==" saltValue="KbVOShLDBk7U6uglknNai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57" priority="3">
      <formula>IF($AO10="investigation",TRUE,FALSE)</formula>
    </cfRule>
  </conditionalFormatting>
  <conditionalFormatting sqref="C11">
    <cfRule type="expression" dxfId="456" priority="2">
      <formula>IF($AO11="investigation",TRUE,FALSE)</formula>
    </cfRule>
  </conditionalFormatting>
  <conditionalFormatting sqref="C65:C110">
    <cfRule type="expression" dxfId="455" priority="1">
      <formula>IF($AO65="investigation",TRUE,FALSE)</formula>
    </cfRule>
  </conditionalFormatting>
  <dataValidations xWindow="354" yWindow="484"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625</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45"/>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Arm8'!D10,Staff_Costs[[#All],[Role]],0),MATCH("Per-minute cost",Staff_Costs[#Headers],0))*'Per-Participant Activities Arm8'!C10)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45"/>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Arm8'!D11,Staff_Costs[[#All],[Role]],0),MATCH("Per-minute cost",Staff_Costs[#Headers],0))*'Per-Participant Activities Arm8'!C11)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4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Arm8'!D12,Staff_Costs[[#All],[Role]],0),MATCH("Per-minute cost",Staff_Costs[#Headers],0))*'Per-Participant Activities Arm8'!C12)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4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Arm8'!D13,Staff_Costs[[#All],[Role]],0),MATCH("Per-minute cost",Staff_Costs[#Headers],0))*'Per-Participant Activities Arm8'!C13)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4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Arm8'!D14,Staff_Costs[[#All],[Role]],0),MATCH("Per-minute cost",Staff_Costs[#Headers],0))*'Per-Participant Activities Arm8'!C14)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4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Arm8'!D15,Staff_Costs[[#All],[Role]],0),MATCH("Per-minute cost",Staff_Costs[#Headers],0))*'Per-Participant Activities Arm8'!C15)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4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Arm8'!D16,Staff_Costs[[#All],[Role]],0),MATCH("Per-minute cost",Staff_Costs[#Headers],0))*'Per-Participant Activities Arm8'!C16)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4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Arm8'!D17,Staff_Costs[[#All],[Role]],0),MATCH("Per-minute cost",Staff_Costs[#Headers],0))*'Per-Participant Activities Arm8'!C17)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4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Arm8'!D18,Staff_Costs[[#All],[Role]],0),MATCH("Per-minute cost",Staff_Costs[#Headers],0))*'Per-Participant Activities Arm8'!C18)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4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Arm8'!D19,Staff_Costs[[#All],[Role]],0),MATCH("Per-minute cost",Staff_Costs[#Headers],0))*'Per-Participant Activities Arm8'!C19)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4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Arm8'!D20,Staff_Costs[[#All],[Role]],0),MATCH("Per-minute cost",Staff_Costs[#Headers],0))*'Per-Participant Activities Arm8'!C20)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4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Arm8'!D21,Staff_Costs[[#All],[Role]],0),MATCH("Per-minute cost",Staff_Costs[#Headers],0))*'Per-Participant Activities Arm8'!C21)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4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Arm8'!D22,Staff_Costs[[#All],[Role]],0),MATCH("Per-minute cost",Staff_Costs[#Headers],0))*'Per-Participant Activities Arm8'!C22)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4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Arm8'!D23,Staff_Costs[[#All],[Role]],0),MATCH("Per-minute cost",Staff_Costs[#Headers],0))*'Per-Participant Activities Arm8'!C23)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4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Arm8'!D24,Staff_Costs[[#All],[Role]],0),MATCH("Per-minute cost",Staff_Costs[#Headers],0))*'Per-Participant Activities Arm8'!C24)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4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Arm8'!D25,Staff_Costs[[#All],[Role]],0),MATCH("Per-minute cost",Staff_Costs[#Headers],0))*'Per-Participant Activities Arm8'!C25)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4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Arm8'!D26,Staff_Costs[[#All],[Role]],0),MATCH("Per-minute cost",Staff_Costs[#Headers],0))*'Per-Participant Activities Arm8'!C26)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4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Arm8'!D27,Staff_Costs[[#All],[Role]],0),MATCH("Per-minute cost",Staff_Costs[#Headers],0))*'Per-Participant Activities Arm8'!C27)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4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Arm8'!D28,Staff_Costs[[#All],[Role]],0),MATCH("Per-minute cost",Staff_Costs[#Headers],0))*'Per-Participant Activities Arm8'!C28)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4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Arm8'!D29,Staff_Costs[[#All],[Role]],0),MATCH("Per-minute cost",Staff_Costs[#Headers],0))*'Per-Participant Activities Arm8'!C29)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4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Arm8'!D30,Staff_Costs[[#All],[Role]],0),MATCH("Per-minute cost",Staff_Costs[#Headers],0))*'Per-Participant Activities Arm8'!C30)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4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Arm8'!D31,Staff_Costs[[#All],[Role]],0),MATCH("Per-minute cost",Staff_Costs[#Headers],0))*'Per-Participant Activities Arm8'!C31)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4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Arm8'!D32,Staff_Costs[[#All],[Role]],0),MATCH("Per-minute cost",Staff_Costs[#Headers],0))*'Per-Participant Activities Arm8'!C32)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4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Arm8'!D33,Staff_Costs[[#All],[Role]],0),MATCH("Per-minute cost",Staff_Costs[#Headers],0))*'Per-Participant Activities Arm8'!C33)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4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Arm8'!D34,Staff_Costs[[#All],[Role]],0),MATCH("Per-minute cost",Staff_Costs[#Headers],0))*'Per-Participant Activities Arm8'!C34)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4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Arm8'!D35,Staff_Costs[[#All],[Role]],0),MATCH("Per-minute cost",Staff_Costs[#Headers],0))*'Per-Participant Activities Arm8'!C35)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4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Arm8'!D36,Staff_Costs[[#All],[Role]],0),MATCH("Per-minute cost",Staff_Costs[#Headers],0))*'Per-Participant Activities Arm8'!C36)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4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Arm8'!D37,Staff_Costs[[#All],[Role]],0),MATCH("Per-minute cost",Staff_Costs[#Headers],0))*'Per-Participant Activities Arm8'!C37)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4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Arm8'!D38,Staff_Costs[[#All],[Role]],0),MATCH("Per-minute cost",Staff_Costs[#Headers],0))*'Per-Participant Activities Arm8'!C38)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4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Arm8'!D39,Staff_Costs[[#All],[Role]],0),MATCH("Per-minute cost",Staff_Costs[#Headers],0))*'Per-Participant Activities Arm8'!C39)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4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Arm8'!D40,Staff_Costs[[#All],[Role]],0),MATCH("Per-minute cost",Staff_Costs[#Headers],0))*'Per-Participant Activities Arm8'!C40)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4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Arm8'!D41,Staff_Costs[[#All],[Role]],0),MATCH("Per-minute cost",Staff_Costs[#Headers],0))*'Per-Participant Activities Arm8'!C41)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4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Arm8'!D42,Staff_Costs[[#All],[Role]],0),MATCH("Per-minute cost",Staff_Costs[#Headers],0))*'Per-Participant Activities Arm8'!C42)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4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Arm8'!D43,Staff_Costs[[#All],[Role]],0),MATCH("Per-minute cost",Staff_Costs[#Headers],0))*'Per-Participant Activities Arm8'!C43)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4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Arm8'!D44,Staff_Costs[[#All],[Role]],0),MATCH("Per-minute cost",Staff_Costs[#Headers],0))*'Per-Participant Activities Arm8'!C44)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4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Arm8'!D45,Staff_Costs[[#All],[Role]],0),MATCH("Per-minute cost",Staff_Costs[#Headers],0))*'Per-Participant Activities Arm8'!C45)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4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Arm8'!D46,Staff_Costs[[#All],[Role]],0),MATCH("Per-minute cost",Staff_Costs[#Headers],0))*'Per-Participant Activities Arm8'!C46)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4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Arm8'!D47,Staff_Costs[[#All],[Role]],0),MATCH("Per-minute cost",Staff_Costs[#Headers],0))*'Per-Participant Activities Arm8'!C47)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4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Arm8'!D48,Staff_Costs[[#All],[Role]],0),MATCH("Per-minute cost",Staff_Costs[#Headers],0))*'Per-Participant Activities Arm8'!C48)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4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Arm8'!D49,Staff_Costs[[#All],[Role]],0),MATCH("Per-minute cost",Staff_Costs[#Headers],0))*'Per-Participant Activities Arm8'!C49)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4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Arm8'!D50,Staff_Costs[[#All],[Role]],0),MATCH("Per-minute cost",Staff_Costs[#Headers],0))*'Per-Participant Activities Arm8'!C50)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4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Arm8'!D51,Staff_Costs[[#All],[Role]],0),MATCH("Per-minute cost",Staff_Costs[#Headers],0))*'Per-Participant Activities Arm8'!C51)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4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Arm8'!D52,Staff_Costs[[#All],[Role]],0),MATCH("Per-minute cost",Staff_Costs[#Headers],0))*'Per-Participant Activities Arm8'!C52)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4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Arm8'!D53,Staff_Costs[[#All],[Role]],0),MATCH("Per-minute cost",Staff_Costs[#Headers],0))*'Per-Participant Activities Arm8'!C53)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4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Arm8'!D54,Staff_Costs[[#All],[Role]],0),MATCH("Per-minute cost",Staff_Costs[#Headers],0))*'Per-Participant Activities Arm8'!C54)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4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Arm8'!D55,Staff_Costs[[#All],[Role]],0),MATCH("Per-minute cost",Staff_Costs[#Headers],0))*'Per-Participant Activities Arm8'!C55)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4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Arm8'!D56,Staff_Costs[[#All],[Role]],0),MATCH("Per-minute cost",Staff_Costs[#Headers],0))*'Per-Participant Activities Arm8'!C56)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4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Arm8'!D57,Staff_Costs[[#All],[Role]],0),MATCH("Per-minute cost",Staff_Costs[#Headers],0))*'Per-Participant Activities Arm8'!C57)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4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Arm8'!D58,Staff_Costs[[#All],[Role]],0),MATCH("Per-minute cost",Staff_Costs[#Headers],0))*'Per-Participant Activities Arm8'!C58)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4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Arm8'!D59,Staff_Costs[[#All],[Role]],0),MATCH("Per-minute cost",Staff_Costs[#Headers],0))*'Per-Participant Activities Arm8'!C59)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4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Arm8'!D60,Staff_Costs[[#All],[Role]],0),MATCH("Per-minute cost",Staff_Costs[#Headers],0))*'Per-Participant Activities Arm8'!C60)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4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Arm8'!D61,Staff_Costs[[#All],[Role]],0),MATCH("Per-minute cost",Staff_Costs[#Headers],0))*'Per-Participant Activities Arm8'!C61)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4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Arm8'!D62,Staff_Costs[[#All],[Role]],0),MATCH("Per-minute cost",Staff_Costs[#Headers],0))*'Per-Participant Activities Arm8'!C62)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4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Arm8'!D63,Staff_Costs[[#All],[Role]],0),MATCH("Per-minute cost",Staff_Costs[#Headers],0))*'Per-Participant Activities Arm8'!C63)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45"/>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Arm8'!D64,Staff_Costs[[#All],[Role]],0),MATCH("Per-minute cost",Staff_Costs[#Headers],0))*'Per-Participant Activities Arm8'!C64)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45"/>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Arm8'!D65,Staff_Costs[[#All],[Role]],0),MATCH("Per-minute cost",Staff_Costs[#Headers],0))*'Per-Participant Activities Arm8'!C65)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45"/>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Arm8'!D66,Staff_Costs[[#All],[Role]],0),MATCH("Per-minute cost",Staff_Costs[#Headers],0))*'Per-Participant Activities Arm8'!C66)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45"/>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Arm8'!D67,Staff_Costs[[#All],[Role]],0),MATCH("Per-minute cost",Staff_Costs[#Headers],0))*'Per-Participant Activities Arm8'!C67)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45"/>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Arm8'!D68,Staff_Costs[[#All],[Role]],0),MATCH("Per-minute cost",Staff_Costs[#Headers],0))*'Per-Participant Activities Arm8'!C68)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45"/>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Arm8'!D69,Staff_Costs[[#All],[Role]],0),MATCH("Per-minute cost",Staff_Costs[#Headers],0))*'Per-Participant Activities Arm8'!C69)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45"/>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Arm8'!D70,Staff_Costs[[#All],[Role]],0),MATCH("Per-minute cost",Staff_Costs[#Headers],0))*'Per-Participant Activities Arm8'!C70)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45"/>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Arm8'!D71,Staff_Costs[[#All],[Role]],0),MATCH("Per-minute cost",Staff_Costs[#Headers],0))*'Per-Participant Activities Arm8'!C71)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45"/>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Arm8'!D72,Staff_Costs[[#All],[Role]],0),MATCH("Per-minute cost",Staff_Costs[#Headers],0))*'Per-Participant Activities Arm8'!C72)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45"/>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Arm8'!D73,Staff_Costs[[#All],[Role]],0),MATCH("Per-minute cost",Staff_Costs[#Headers],0))*'Per-Participant Activities Arm8'!C73)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45"/>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Arm8'!D74,Staff_Costs[[#All],[Role]],0),MATCH("Per-minute cost",Staff_Costs[#Headers],0))*'Per-Participant Activities Arm8'!C74)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45"/>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Arm8'!D75,Staff_Costs[[#All],[Role]],0),MATCH("Per-minute cost",Staff_Costs[#Headers],0))*'Per-Participant Activities Arm8'!C75)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45"/>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Arm8'!D76,Staff_Costs[[#All],[Role]],0),MATCH("Per-minute cost",Staff_Costs[#Headers],0))*'Per-Participant Activities Arm8'!C76)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45"/>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Arm8'!D77,Staff_Costs[[#All],[Role]],0),MATCH("Per-minute cost",Staff_Costs[#Headers],0))*'Per-Participant Activities Arm8'!C77)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45"/>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Arm8'!D78,Staff_Costs[[#All],[Role]],0),MATCH("Per-minute cost",Staff_Costs[#Headers],0))*'Per-Participant Activities Arm8'!C78)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45"/>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Arm8'!D79,Staff_Costs[[#All],[Role]],0),MATCH("Per-minute cost",Staff_Costs[#Headers],0))*'Per-Participant Activities Arm8'!C79)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45"/>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Arm8'!D80,Staff_Costs[[#All],[Role]],0),MATCH("Per-minute cost",Staff_Costs[#Headers],0))*'Per-Participant Activities Arm8'!C80)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45"/>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Arm8'!D81,Staff_Costs[[#All],[Role]],0),MATCH("Per-minute cost",Staff_Costs[#Headers],0))*'Per-Participant Activities Arm8'!C81)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45"/>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Arm8'!D82,Staff_Costs[[#All],[Role]],0),MATCH("Per-minute cost",Staff_Costs[#Headers],0))*'Per-Participant Activities Arm8'!C82)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45"/>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Arm8'!D83,Staff_Costs[[#All],[Role]],0),MATCH("Per-minute cost",Staff_Costs[#Headers],0))*'Per-Participant Activities Arm8'!C83)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45"/>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Arm8'!D84,Staff_Costs[[#All],[Role]],0),MATCH("Per-minute cost",Staff_Costs[#Headers],0))*'Per-Participant Activities Arm8'!C84)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45"/>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Arm8'!D85,Staff_Costs[[#All],[Role]],0),MATCH("Per-minute cost",Staff_Costs[#Headers],0))*'Per-Participant Activities Arm8'!C85)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45"/>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Arm8'!D86,Staff_Costs[[#All],[Role]],0),MATCH("Per-minute cost",Staff_Costs[#Headers],0))*'Per-Participant Activities Arm8'!C86)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45"/>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Arm8'!D87,Staff_Costs[[#All],[Role]],0),MATCH("Per-minute cost",Staff_Costs[#Headers],0))*'Per-Participant Activities Arm8'!C87)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45"/>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Arm8'!D88,Staff_Costs[[#All],[Role]],0),MATCH("Per-minute cost",Staff_Costs[#Headers],0))*'Per-Participant Activities Arm8'!C88)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45"/>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Arm8'!D89,Staff_Costs[[#All],[Role]],0),MATCH("Per-minute cost",Staff_Costs[#Headers],0))*'Per-Participant Activities Arm8'!C89)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45"/>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Arm8'!D90,Staff_Costs[[#All],[Role]],0),MATCH("Per-minute cost",Staff_Costs[#Headers],0))*'Per-Participant Activities Arm8'!C90)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45"/>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Arm8'!D91,Staff_Costs[[#All],[Role]],0),MATCH("Per-minute cost",Staff_Costs[#Headers],0))*'Per-Participant Activities Arm8'!C91)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45"/>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Arm8'!D92,Staff_Costs[[#All],[Role]],0),MATCH("Per-minute cost",Staff_Costs[#Headers],0))*'Per-Participant Activities Arm8'!C92)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45"/>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Arm8'!D93,Staff_Costs[[#All],[Role]],0),MATCH("Per-minute cost",Staff_Costs[#Headers],0))*'Per-Participant Activities Arm8'!C93)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45"/>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Arm8'!D94,Staff_Costs[[#All],[Role]],0),MATCH("Per-minute cost",Staff_Costs[#Headers],0))*'Per-Participant Activities Arm8'!C94)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45"/>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Arm8'!D95,Staff_Costs[[#All],[Role]],0),MATCH("Per-minute cost",Staff_Costs[#Headers],0))*'Per-Participant Activities Arm8'!C95)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45"/>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Arm8'!D96,Staff_Costs[[#All],[Role]],0),MATCH("Per-minute cost",Staff_Costs[#Headers],0))*'Per-Participant Activities Arm8'!C96)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45"/>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Arm8'!D97,Staff_Costs[[#All],[Role]],0),MATCH("Per-minute cost",Staff_Costs[#Headers],0))*'Per-Participant Activities Arm8'!C97)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45"/>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Arm8'!D98,Staff_Costs[[#All],[Role]],0),MATCH("Per-minute cost",Staff_Costs[#Headers],0))*'Per-Participant Activities Arm8'!C98)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45"/>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Arm8'!D99,Staff_Costs[[#All],[Role]],0),MATCH("Per-minute cost",Staff_Costs[#Headers],0))*'Per-Participant Activities Arm8'!C99)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45"/>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Arm8'!D100,Staff_Costs[[#All],[Role]],0),MATCH("Per-minute cost",Staff_Costs[#Headers],0))*'Per-Participant Activities Arm8'!C100)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45"/>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Arm8'!D101,Staff_Costs[[#All],[Role]],0),MATCH("Per-minute cost",Staff_Costs[#Headers],0))*'Per-Participant Activities Arm8'!C101)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45"/>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Arm8'!D102,Staff_Costs[[#All],[Role]],0),MATCH("Per-minute cost",Staff_Costs[#Headers],0))*'Per-Participant Activities Arm8'!C102)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45"/>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Arm8'!D103,Staff_Costs[[#All],[Role]],0),MATCH("Per-minute cost",Staff_Costs[#Headers],0))*'Per-Participant Activities Arm8'!C103)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45"/>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Arm8'!D104,Staff_Costs[[#All],[Role]],0),MATCH("Per-minute cost",Staff_Costs[#Headers],0))*'Per-Participant Activities Arm8'!C104)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45"/>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Arm8'!D105,Staff_Costs[[#All],[Role]],0),MATCH("Per-minute cost",Staff_Costs[#Headers],0))*'Per-Participant Activities Arm8'!C105)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45"/>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Arm8'!D106,Staff_Costs[[#All],[Role]],0),MATCH("Per-minute cost",Staff_Costs[#Headers],0))*'Per-Participant Activities Arm8'!C106)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45"/>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Arm8'!D107,Staff_Costs[[#All],[Role]],0),MATCH("Per-minute cost",Staff_Costs[#Headers],0))*'Per-Participant Activities Arm8'!C107)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45"/>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Arm8'!D108,Staff_Costs[[#All],[Role]],0),MATCH("Per-minute cost",Staff_Costs[#Headers],0))*'Per-Participant Activities Arm8'!C108)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45"/>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Arm8'!D109,Staff_Costs[[#All],[Role]],0),MATCH("Per-minute cost",Staff_Costs[#Headers],0))*'Per-Participant Activities Arm8'!C109)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45"/>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Arm8'!D110,Staff_Costs[[#All],[Role]],0),MATCH("Per-minute cost",Staff_Costs[#Headers],0))*'Per-Participant Activities Arm8'!C110)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mLY1mg8fvWH8QO/i2AwNZXqOy0CZTbqA8NPqyskX78TzNp3RqRnhO1JPKaoc6GNRCGOsNCtbbRKE/TxkEaBTJQ==" saltValue="jEGce701qIn5JdUvMH17P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10" priority="3">
      <formula>IF($AO10="investigation",TRUE,FALSE)</formula>
    </cfRule>
  </conditionalFormatting>
  <conditionalFormatting sqref="C11">
    <cfRule type="expression" dxfId="409" priority="2">
      <formula>IF($AO11="investigation",TRUE,FALSE)</formula>
    </cfRule>
  </conditionalFormatting>
  <conditionalFormatting sqref="C65:C110">
    <cfRule type="expression" dxfId="408" priority="1">
      <formula>IF($AO65="investigation",TRUE,FALSE)</formula>
    </cfRule>
  </conditionalFormatting>
  <dataValidations xWindow="634" yWindow="470"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626</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45"/>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Arm9'!D10,Staff_Costs[[#All],[Role]],0),MATCH("Per-minute cost",Staff_Costs[#Headers],0))*'Per-Participant Activities Arm9'!C10)</f>
        <v>#N/A</v>
      </c>
      <c r="AJ10" s="117" t="e">
        <f t="shared" ref="AJ10:AN19" si="0">COUNTIF($F10:$AH10, AJ$8)*$AI10</f>
        <v>#N/A</v>
      </c>
      <c r="AK10" s="117" t="e">
        <f t="shared" si="0"/>
        <v>#N/A</v>
      </c>
      <c r="AL10" s="117" t="e">
        <f t="shared" si="0"/>
        <v>#N/A</v>
      </c>
      <c r="AM10" s="117" t="e">
        <f t="shared" si="0"/>
        <v>#N/A</v>
      </c>
      <c r="AN10" s="117" t="e">
        <f t="shared" si="0"/>
        <v>#N/A</v>
      </c>
      <c r="AO10" s="220" t="e">
        <f t="shared" ref="AO10:AO41" si="1">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45"/>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Arm9'!D11,Staff_Costs[[#All],[Role]],0),MATCH("Per-minute cost",Staff_Costs[#Headers],0))*'Per-Participant Activities Arm9'!C11)</f>
        <v>#N/A</v>
      </c>
      <c r="AJ11" s="117" t="e">
        <f t="shared" si="0"/>
        <v>#N/A</v>
      </c>
      <c r="AK11" s="117" t="e">
        <f t="shared" si="0"/>
        <v>#N/A</v>
      </c>
      <c r="AL11" s="117" t="e">
        <f t="shared" si="0"/>
        <v>#N/A</v>
      </c>
      <c r="AM11" s="117" t="e">
        <f t="shared" si="0"/>
        <v>#N/A</v>
      </c>
      <c r="AN11" s="117" t="e">
        <f t="shared" si="0"/>
        <v>#N/A</v>
      </c>
      <c r="AO11" s="107" t="e">
        <f t="shared" si="1"/>
        <v>#N/A</v>
      </c>
      <c r="AP11" s="80"/>
      <c r="AQ11" s="80"/>
      <c r="AR11" s="80"/>
      <c r="AS11" s="80"/>
      <c r="AT11" s="80"/>
      <c r="AU11" s="80"/>
      <c r="AV11" s="80"/>
      <c r="AW11" s="80"/>
      <c r="AX11" s="80"/>
      <c r="AY11" s="80"/>
      <c r="AZ11" s="80"/>
      <c r="BA11" s="80"/>
    </row>
    <row r="12" spans="1:53" s="75" customFormat="1" x14ac:dyDescent="0.25">
      <c r="A12" s="110"/>
      <c r="B12" s="118"/>
      <c r="C12" s="112"/>
      <c r="D12" s="111"/>
      <c r="E12" s="54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Arm9'!D12,Staff_Costs[[#All],[Role]],0),MATCH("Per-minute cost",Staff_Costs[#Headers],0))*'Per-Participant Activities Arm9'!C12)</f>
        <v>#N/A</v>
      </c>
      <c r="AJ12" s="117" t="e">
        <f t="shared" si="0"/>
        <v>#N/A</v>
      </c>
      <c r="AK12" s="117" t="e">
        <f t="shared" si="0"/>
        <v>#N/A</v>
      </c>
      <c r="AL12" s="117" t="e">
        <f t="shared" si="0"/>
        <v>#N/A</v>
      </c>
      <c r="AM12" s="117" t="e">
        <f t="shared" si="0"/>
        <v>#N/A</v>
      </c>
      <c r="AN12" s="117" t="e">
        <f t="shared" si="0"/>
        <v>#N/A</v>
      </c>
      <c r="AO12" s="107" t="e">
        <f t="shared" si="1"/>
        <v>#N/A</v>
      </c>
      <c r="AP12" s="80"/>
      <c r="AQ12" s="80"/>
      <c r="AR12" s="80"/>
      <c r="AS12" s="80"/>
      <c r="AT12" s="80"/>
      <c r="AU12" s="80"/>
      <c r="AV12" s="80"/>
      <c r="AW12" s="80"/>
      <c r="AX12" s="80"/>
      <c r="AY12" s="80"/>
      <c r="AZ12" s="80"/>
      <c r="BA12" s="80"/>
    </row>
    <row r="13" spans="1:53" s="75" customFormat="1" x14ac:dyDescent="0.25">
      <c r="A13" s="110"/>
      <c r="B13" s="118"/>
      <c r="C13" s="112"/>
      <c r="D13" s="111"/>
      <c r="E13" s="54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Arm9'!D13,Staff_Costs[[#All],[Role]],0),MATCH("Per-minute cost",Staff_Costs[#Headers],0))*'Per-Participant Activities Arm9'!C13)</f>
        <v>#N/A</v>
      </c>
      <c r="AJ13" s="117" t="e">
        <f t="shared" si="0"/>
        <v>#N/A</v>
      </c>
      <c r="AK13" s="117" t="e">
        <f t="shared" si="0"/>
        <v>#N/A</v>
      </c>
      <c r="AL13" s="117" t="e">
        <f t="shared" si="0"/>
        <v>#N/A</v>
      </c>
      <c r="AM13" s="117" t="e">
        <f t="shared" si="0"/>
        <v>#N/A</v>
      </c>
      <c r="AN13" s="117" t="e">
        <f t="shared" si="0"/>
        <v>#N/A</v>
      </c>
      <c r="AO13" s="107" t="e">
        <f t="shared" si="1"/>
        <v>#N/A</v>
      </c>
      <c r="AP13" s="80"/>
      <c r="AQ13" s="80"/>
      <c r="AR13" s="80"/>
      <c r="AS13" s="80"/>
      <c r="AT13" s="80"/>
      <c r="AU13" s="80"/>
      <c r="AV13" s="80"/>
      <c r="AW13" s="80"/>
      <c r="AX13" s="80"/>
      <c r="AY13" s="80"/>
      <c r="AZ13" s="80"/>
      <c r="BA13" s="80"/>
    </row>
    <row r="14" spans="1:53" s="75" customFormat="1" x14ac:dyDescent="0.25">
      <c r="A14" s="110"/>
      <c r="B14" s="118"/>
      <c r="C14" s="112"/>
      <c r="D14" s="111"/>
      <c r="E14" s="54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Arm9'!D14,Staff_Costs[[#All],[Role]],0),MATCH("Per-minute cost",Staff_Costs[#Headers],0))*'Per-Participant Activities Arm9'!C14)</f>
        <v>#N/A</v>
      </c>
      <c r="AJ14" s="117" t="e">
        <f t="shared" si="0"/>
        <v>#N/A</v>
      </c>
      <c r="AK14" s="117" t="e">
        <f t="shared" si="0"/>
        <v>#N/A</v>
      </c>
      <c r="AL14" s="117" t="e">
        <f t="shared" si="0"/>
        <v>#N/A</v>
      </c>
      <c r="AM14" s="117" t="e">
        <f t="shared" si="0"/>
        <v>#N/A</v>
      </c>
      <c r="AN14" s="117" t="e">
        <f t="shared" si="0"/>
        <v>#N/A</v>
      </c>
      <c r="AO14" s="107" t="e">
        <f t="shared" si="1"/>
        <v>#N/A</v>
      </c>
      <c r="AP14" s="80"/>
      <c r="AQ14" s="80"/>
      <c r="AR14" s="80"/>
      <c r="AS14" s="80"/>
      <c r="AT14" s="80"/>
      <c r="AU14" s="80"/>
      <c r="AV14" s="80"/>
      <c r="AW14" s="80"/>
      <c r="AX14" s="80"/>
      <c r="AY14" s="80"/>
      <c r="AZ14" s="80"/>
      <c r="BA14" s="80"/>
    </row>
    <row r="15" spans="1:53" s="75" customFormat="1" x14ac:dyDescent="0.25">
      <c r="A15" s="110"/>
      <c r="B15" s="118"/>
      <c r="C15" s="112"/>
      <c r="D15" s="111"/>
      <c r="E15" s="54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Arm9'!D15,Staff_Costs[[#All],[Role]],0),MATCH("Per-minute cost",Staff_Costs[#Headers],0))*'Per-Participant Activities Arm9'!C15)</f>
        <v>#N/A</v>
      </c>
      <c r="AJ15" s="117" t="e">
        <f t="shared" si="0"/>
        <v>#N/A</v>
      </c>
      <c r="AK15" s="117" t="e">
        <f t="shared" si="0"/>
        <v>#N/A</v>
      </c>
      <c r="AL15" s="117" t="e">
        <f t="shared" si="0"/>
        <v>#N/A</v>
      </c>
      <c r="AM15" s="117" t="e">
        <f t="shared" si="0"/>
        <v>#N/A</v>
      </c>
      <c r="AN15" s="117" t="e">
        <f t="shared" si="0"/>
        <v>#N/A</v>
      </c>
      <c r="AO15" s="107" t="e">
        <f t="shared" si="1"/>
        <v>#N/A</v>
      </c>
      <c r="AP15" s="80"/>
      <c r="AQ15" s="80"/>
      <c r="AR15" s="80"/>
      <c r="AS15" s="80"/>
      <c r="AT15" s="80"/>
      <c r="AU15" s="80"/>
      <c r="AV15" s="80"/>
      <c r="AW15" s="80"/>
      <c r="AX15" s="80"/>
      <c r="AY15" s="80"/>
      <c r="AZ15" s="80"/>
      <c r="BA15" s="80"/>
    </row>
    <row r="16" spans="1:53" s="75" customFormat="1" x14ac:dyDescent="0.25">
      <c r="A16" s="110"/>
      <c r="B16" s="118"/>
      <c r="C16" s="112"/>
      <c r="D16" s="111"/>
      <c r="E16" s="54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Arm9'!D16,Staff_Costs[[#All],[Role]],0),MATCH("Per-minute cost",Staff_Costs[#Headers],0))*'Per-Participant Activities Arm9'!C16)</f>
        <v>#N/A</v>
      </c>
      <c r="AJ16" s="117" t="e">
        <f t="shared" si="0"/>
        <v>#N/A</v>
      </c>
      <c r="AK16" s="117" t="e">
        <f t="shared" si="0"/>
        <v>#N/A</v>
      </c>
      <c r="AL16" s="117" t="e">
        <f t="shared" si="0"/>
        <v>#N/A</v>
      </c>
      <c r="AM16" s="117" t="e">
        <f t="shared" si="0"/>
        <v>#N/A</v>
      </c>
      <c r="AN16" s="117" t="e">
        <f t="shared" si="0"/>
        <v>#N/A</v>
      </c>
      <c r="AO16" s="107" t="e">
        <f t="shared" si="1"/>
        <v>#N/A</v>
      </c>
      <c r="AP16" s="80"/>
      <c r="AQ16" s="80"/>
      <c r="AR16" s="80"/>
      <c r="AS16" s="80"/>
      <c r="AT16" s="80"/>
      <c r="AU16" s="80"/>
      <c r="AV16" s="80"/>
      <c r="AW16" s="80"/>
      <c r="AX16" s="80"/>
      <c r="AY16" s="80"/>
      <c r="AZ16" s="80"/>
      <c r="BA16" s="80"/>
    </row>
    <row r="17" spans="1:53" s="75" customFormat="1" x14ac:dyDescent="0.25">
      <c r="A17" s="110"/>
      <c r="B17" s="118"/>
      <c r="C17" s="112"/>
      <c r="D17" s="111"/>
      <c r="E17" s="54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Arm9'!D17,Staff_Costs[[#All],[Role]],0),MATCH("Per-minute cost",Staff_Costs[#Headers],0))*'Per-Participant Activities Arm9'!C17)</f>
        <v>#N/A</v>
      </c>
      <c r="AJ17" s="117" t="e">
        <f t="shared" si="0"/>
        <v>#N/A</v>
      </c>
      <c r="AK17" s="117" t="e">
        <f t="shared" si="0"/>
        <v>#N/A</v>
      </c>
      <c r="AL17" s="117" t="e">
        <f t="shared" si="0"/>
        <v>#N/A</v>
      </c>
      <c r="AM17" s="117" t="e">
        <f t="shared" si="0"/>
        <v>#N/A</v>
      </c>
      <c r="AN17" s="117" t="e">
        <f t="shared" si="0"/>
        <v>#N/A</v>
      </c>
      <c r="AO17" s="107" t="e">
        <f t="shared" si="1"/>
        <v>#N/A</v>
      </c>
      <c r="AP17" s="80"/>
      <c r="AQ17" s="80"/>
      <c r="AR17" s="80"/>
      <c r="AS17" s="80"/>
      <c r="AT17" s="80"/>
      <c r="AU17" s="80"/>
      <c r="AV17" s="80"/>
      <c r="AW17" s="80"/>
      <c r="AX17" s="80"/>
      <c r="AY17" s="80"/>
      <c r="AZ17" s="80"/>
      <c r="BA17" s="80"/>
    </row>
    <row r="18" spans="1:53" s="75" customFormat="1" x14ac:dyDescent="0.25">
      <c r="A18" s="110"/>
      <c r="B18" s="118"/>
      <c r="C18" s="112"/>
      <c r="D18" s="111"/>
      <c r="E18" s="54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Arm9'!D18,Staff_Costs[[#All],[Role]],0),MATCH("Per-minute cost",Staff_Costs[#Headers],0))*'Per-Participant Activities Arm9'!C18)</f>
        <v>#N/A</v>
      </c>
      <c r="AJ18" s="117" t="e">
        <f t="shared" si="0"/>
        <v>#N/A</v>
      </c>
      <c r="AK18" s="117" t="e">
        <f t="shared" si="0"/>
        <v>#N/A</v>
      </c>
      <c r="AL18" s="117" t="e">
        <f t="shared" si="0"/>
        <v>#N/A</v>
      </c>
      <c r="AM18" s="117" t="e">
        <f t="shared" si="0"/>
        <v>#N/A</v>
      </c>
      <c r="AN18" s="117" t="e">
        <f t="shared" si="0"/>
        <v>#N/A</v>
      </c>
      <c r="AO18" s="107" t="e">
        <f t="shared" si="1"/>
        <v>#N/A</v>
      </c>
      <c r="AP18" s="80"/>
      <c r="AQ18" s="80"/>
      <c r="AR18" s="80"/>
      <c r="AS18" s="80"/>
      <c r="AT18" s="80"/>
      <c r="AU18" s="80"/>
      <c r="AV18" s="80"/>
      <c r="AW18" s="80"/>
      <c r="AX18" s="80"/>
      <c r="AY18" s="80"/>
      <c r="AZ18" s="80"/>
      <c r="BA18" s="80"/>
    </row>
    <row r="19" spans="1:53" s="75" customFormat="1" x14ac:dyDescent="0.25">
      <c r="A19" s="110"/>
      <c r="B19" s="111"/>
      <c r="C19" s="112"/>
      <c r="D19" s="111"/>
      <c r="E19" s="54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Arm9'!D19,Staff_Costs[[#All],[Role]],0),MATCH("Per-minute cost",Staff_Costs[#Headers],0))*'Per-Participant Activities Arm9'!C19)</f>
        <v>#N/A</v>
      </c>
      <c r="AJ19" s="117" t="e">
        <f t="shared" si="0"/>
        <v>#N/A</v>
      </c>
      <c r="AK19" s="117" t="e">
        <f t="shared" si="0"/>
        <v>#N/A</v>
      </c>
      <c r="AL19" s="117" t="e">
        <f t="shared" si="0"/>
        <v>#N/A</v>
      </c>
      <c r="AM19" s="117" t="e">
        <f t="shared" si="0"/>
        <v>#N/A</v>
      </c>
      <c r="AN19" s="117" t="e">
        <f t="shared" si="0"/>
        <v>#N/A</v>
      </c>
      <c r="AO19" s="107" t="e">
        <f t="shared" si="1"/>
        <v>#N/A</v>
      </c>
      <c r="AP19" s="80"/>
      <c r="AQ19" s="80"/>
      <c r="AR19" s="80"/>
      <c r="AS19" s="80"/>
      <c r="AT19" s="80"/>
      <c r="AU19" s="80"/>
      <c r="AV19" s="80"/>
      <c r="AW19" s="80"/>
      <c r="AX19" s="80"/>
      <c r="AY19" s="80"/>
      <c r="AZ19" s="80"/>
      <c r="BA19" s="80"/>
    </row>
    <row r="20" spans="1:53" s="75" customFormat="1" x14ac:dyDescent="0.25">
      <c r="A20" s="110"/>
      <c r="B20" s="111"/>
      <c r="C20" s="112"/>
      <c r="D20" s="111"/>
      <c r="E20" s="54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Arm9'!D20,Staff_Costs[[#All],[Role]],0),MATCH("Per-minute cost",Staff_Costs[#Headers],0))*'Per-Participant Activities Arm9'!C20)</f>
        <v>#N/A</v>
      </c>
      <c r="AJ20" s="117" t="e">
        <f t="shared" ref="AJ20:AN29" si="2">COUNTIF($F20:$AH20, AJ$8)*$AI20</f>
        <v>#N/A</v>
      </c>
      <c r="AK20" s="117" t="e">
        <f t="shared" si="2"/>
        <v>#N/A</v>
      </c>
      <c r="AL20" s="117" t="e">
        <f t="shared" si="2"/>
        <v>#N/A</v>
      </c>
      <c r="AM20" s="117" t="e">
        <f t="shared" si="2"/>
        <v>#N/A</v>
      </c>
      <c r="AN20" s="117" t="e">
        <f t="shared" si="2"/>
        <v>#N/A</v>
      </c>
      <c r="AO20" s="107" t="e">
        <f t="shared" si="1"/>
        <v>#N/A</v>
      </c>
      <c r="AP20" s="80"/>
      <c r="AQ20" s="80"/>
      <c r="AR20" s="80"/>
      <c r="AS20" s="80"/>
      <c r="AT20" s="80"/>
      <c r="AU20" s="80"/>
      <c r="AV20" s="80"/>
      <c r="AW20" s="80"/>
      <c r="AX20" s="80"/>
      <c r="AY20" s="80"/>
      <c r="AZ20" s="80"/>
      <c r="BA20" s="80"/>
    </row>
    <row r="21" spans="1:53" s="75" customFormat="1" x14ac:dyDescent="0.25">
      <c r="A21" s="110"/>
      <c r="B21" s="111"/>
      <c r="C21" s="112"/>
      <c r="D21" s="111"/>
      <c r="E21" s="54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Arm9'!D21,Staff_Costs[[#All],[Role]],0),MATCH("Per-minute cost",Staff_Costs[#Headers],0))*'Per-Participant Activities Arm9'!C21)</f>
        <v>#N/A</v>
      </c>
      <c r="AJ21" s="117" t="e">
        <f t="shared" si="2"/>
        <v>#N/A</v>
      </c>
      <c r="AK21" s="117" t="e">
        <f t="shared" si="2"/>
        <v>#N/A</v>
      </c>
      <c r="AL21" s="117" t="e">
        <f t="shared" si="2"/>
        <v>#N/A</v>
      </c>
      <c r="AM21" s="117" t="e">
        <f t="shared" si="2"/>
        <v>#N/A</v>
      </c>
      <c r="AN21" s="117" t="e">
        <f t="shared" si="2"/>
        <v>#N/A</v>
      </c>
      <c r="AO21" s="107" t="e">
        <f t="shared" si="1"/>
        <v>#N/A</v>
      </c>
      <c r="AP21" s="80"/>
      <c r="AQ21" s="80"/>
      <c r="AR21" s="80"/>
      <c r="AS21" s="80"/>
      <c r="AT21" s="80"/>
      <c r="AU21" s="80"/>
      <c r="AV21" s="80"/>
      <c r="AW21" s="80"/>
      <c r="AX21" s="80"/>
      <c r="AY21" s="80"/>
      <c r="AZ21" s="80"/>
      <c r="BA21" s="80"/>
    </row>
    <row r="22" spans="1:53" s="75" customFormat="1" x14ac:dyDescent="0.25">
      <c r="A22" s="110"/>
      <c r="B22" s="111"/>
      <c r="C22" s="112"/>
      <c r="D22" s="111"/>
      <c r="E22" s="54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Arm9'!D22,Staff_Costs[[#All],[Role]],0),MATCH("Per-minute cost",Staff_Costs[#Headers],0))*'Per-Participant Activities Arm9'!C22)</f>
        <v>#N/A</v>
      </c>
      <c r="AJ22" s="117" t="e">
        <f t="shared" si="2"/>
        <v>#N/A</v>
      </c>
      <c r="AK22" s="117" t="e">
        <f t="shared" si="2"/>
        <v>#N/A</v>
      </c>
      <c r="AL22" s="117" t="e">
        <f t="shared" si="2"/>
        <v>#N/A</v>
      </c>
      <c r="AM22" s="117" t="e">
        <f t="shared" si="2"/>
        <v>#N/A</v>
      </c>
      <c r="AN22" s="117" t="e">
        <f t="shared" si="2"/>
        <v>#N/A</v>
      </c>
      <c r="AO22" s="107" t="e">
        <f t="shared" si="1"/>
        <v>#N/A</v>
      </c>
      <c r="AP22" s="80"/>
      <c r="AQ22" s="80"/>
      <c r="AR22" s="80"/>
      <c r="AS22" s="80"/>
      <c r="AT22" s="80"/>
      <c r="AU22" s="80"/>
      <c r="AV22" s="80"/>
      <c r="AW22" s="80"/>
      <c r="AX22" s="80"/>
      <c r="AY22" s="80"/>
      <c r="AZ22" s="80"/>
      <c r="BA22" s="80"/>
    </row>
    <row r="23" spans="1:53" s="75" customFormat="1" x14ac:dyDescent="0.25">
      <c r="A23" s="110"/>
      <c r="B23" s="111"/>
      <c r="C23" s="112"/>
      <c r="D23" s="111"/>
      <c r="E23" s="54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Arm9'!D23,Staff_Costs[[#All],[Role]],0),MATCH("Per-minute cost",Staff_Costs[#Headers],0))*'Per-Participant Activities Arm9'!C23)</f>
        <v>#N/A</v>
      </c>
      <c r="AJ23" s="117" t="e">
        <f t="shared" si="2"/>
        <v>#N/A</v>
      </c>
      <c r="AK23" s="117" t="e">
        <f t="shared" si="2"/>
        <v>#N/A</v>
      </c>
      <c r="AL23" s="117" t="e">
        <f t="shared" si="2"/>
        <v>#N/A</v>
      </c>
      <c r="AM23" s="117" t="e">
        <f t="shared" si="2"/>
        <v>#N/A</v>
      </c>
      <c r="AN23" s="117" t="e">
        <f t="shared" si="2"/>
        <v>#N/A</v>
      </c>
      <c r="AO23" s="107" t="e">
        <f t="shared" si="1"/>
        <v>#N/A</v>
      </c>
      <c r="AP23" s="80"/>
      <c r="AQ23" s="80"/>
      <c r="AR23" s="80"/>
      <c r="AS23" s="80"/>
      <c r="AT23" s="80"/>
      <c r="AU23" s="80"/>
      <c r="AV23" s="80"/>
      <c r="AW23" s="80"/>
      <c r="AX23" s="80"/>
      <c r="AY23" s="80"/>
      <c r="AZ23" s="80"/>
      <c r="BA23" s="80"/>
    </row>
    <row r="24" spans="1:53" s="75" customFormat="1" x14ac:dyDescent="0.25">
      <c r="A24" s="110"/>
      <c r="B24" s="111"/>
      <c r="C24" s="112"/>
      <c r="D24" s="111"/>
      <c r="E24" s="54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Arm9'!D24,Staff_Costs[[#All],[Role]],0),MATCH("Per-minute cost",Staff_Costs[#Headers],0))*'Per-Participant Activities Arm9'!C24)</f>
        <v>#N/A</v>
      </c>
      <c r="AJ24" s="117" t="e">
        <f t="shared" si="2"/>
        <v>#N/A</v>
      </c>
      <c r="AK24" s="117" t="e">
        <f t="shared" si="2"/>
        <v>#N/A</v>
      </c>
      <c r="AL24" s="117" t="e">
        <f t="shared" si="2"/>
        <v>#N/A</v>
      </c>
      <c r="AM24" s="117" t="e">
        <f t="shared" si="2"/>
        <v>#N/A</v>
      </c>
      <c r="AN24" s="117" t="e">
        <f t="shared" si="2"/>
        <v>#N/A</v>
      </c>
      <c r="AO24" s="107" t="e">
        <f t="shared" si="1"/>
        <v>#N/A</v>
      </c>
      <c r="AP24" s="80"/>
      <c r="AQ24" s="80"/>
      <c r="AR24" s="80"/>
      <c r="AS24" s="80"/>
      <c r="AT24" s="80"/>
      <c r="AU24" s="80"/>
      <c r="AV24" s="80"/>
      <c r="AW24" s="80"/>
      <c r="AX24" s="80"/>
      <c r="AY24" s="80"/>
      <c r="AZ24" s="80"/>
      <c r="BA24" s="80"/>
    </row>
    <row r="25" spans="1:53" s="75" customFormat="1" x14ac:dyDescent="0.25">
      <c r="A25" s="110"/>
      <c r="B25" s="111"/>
      <c r="C25" s="112"/>
      <c r="D25" s="111"/>
      <c r="E25" s="54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Arm9'!D25,Staff_Costs[[#All],[Role]],0),MATCH("Per-minute cost",Staff_Costs[#Headers],0))*'Per-Participant Activities Arm9'!C25)</f>
        <v>#N/A</v>
      </c>
      <c r="AJ25" s="117" t="e">
        <f t="shared" si="2"/>
        <v>#N/A</v>
      </c>
      <c r="AK25" s="117" t="e">
        <f t="shared" si="2"/>
        <v>#N/A</v>
      </c>
      <c r="AL25" s="117" t="e">
        <f t="shared" si="2"/>
        <v>#N/A</v>
      </c>
      <c r="AM25" s="117" t="e">
        <f t="shared" si="2"/>
        <v>#N/A</v>
      </c>
      <c r="AN25" s="117" t="e">
        <f t="shared" si="2"/>
        <v>#N/A</v>
      </c>
      <c r="AO25" s="107" t="e">
        <f t="shared" si="1"/>
        <v>#N/A</v>
      </c>
      <c r="AP25" s="80"/>
      <c r="AQ25" s="80"/>
      <c r="AR25" s="80"/>
      <c r="AS25" s="80"/>
      <c r="AT25" s="80"/>
      <c r="AU25" s="80"/>
      <c r="AV25" s="80"/>
      <c r="AW25" s="80"/>
      <c r="AX25" s="80"/>
      <c r="AY25" s="80"/>
      <c r="AZ25" s="80"/>
      <c r="BA25" s="80"/>
    </row>
    <row r="26" spans="1:53" s="75" customFormat="1" x14ac:dyDescent="0.25">
      <c r="A26" s="110"/>
      <c r="B26" s="111"/>
      <c r="C26" s="112"/>
      <c r="D26" s="111"/>
      <c r="E26" s="54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Arm9'!D26,Staff_Costs[[#All],[Role]],0),MATCH("Per-minute cost",Staff_Costs[#Headers],0))*'Per-Participant Activities Arm9'!C26)</f>
        <v>#N/A</v>
      </c>
      <c r="AJ26" s="117" t="e">
        <f t="shared" si="2"/>
        <v>#N/A</v>
      </c>
      <c r="AK26" s="117" t="e">
        <f t="shared" si="2"/>
        <v>#N/A</v>
      </c>
      <c r="AL26" s="117" t="e">
        <f t="shared" si="2"/>
        <v>#N/A</v>
      </c>
      <c r="AM26" s="117" t="e">
        <f t="shared" si="2"/>
        <v>#N/A</v>
      </c>
      <c r="AN26" s="117" t="e">
        <f t="shared" si="2"/>
        <v>#N/A</v>
      </c>
      <c r="AO26" s="107" t="e">
        <f t="shared" si="1"/>
        <v>#N/A</v>
      </c>
      <c r="AP26" s="80"/>
      <c r="AQ26" s="80"/>
      <c r="AR26" s="80"/>
      <c r="AS26" s="80"/>
      <c r="AT26" s="80"/>
      <c r="AU26" s="80"/>
      <c r="AV26" s="80"/>
      <c r="AW26" s="80"/>
      <c r="AX26" s="80"/>
      <c r="AY26" s="80"/>
      <c r="AZ26" s="80"/>
      <c r="BA26" s="80"/>
    </row>
    <row r="27" spans="1:53" s="75" customFormat="1" x14ac:dyDescent="0.25">
      <c r="A27" s="110"/>
      <c r="B27" s="111"/>
      <c r="C27" s="112"/>
      <c r="D27" s="111"/>
      <c r="E27" s="54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Arm9'!D27,Staff_Costs[[#All],[Role]],0),MATCH("Per-minute cost",Staff_Costs[#Headers],0))*'Per-Participant Activities Arm9'!C27)</f>
        <v>#N/A</v>
      </c>
      <c r="AJ27" s="117" t="e">
        <f t="shared" si="2"/>
        <v>#N/A</v>
      </c>
      <c r="AK27" s="117" t="e">
        <f t="shared" si="2"/>
        <v>#N/A</v>
      </c>
      <c r="AL27" s="117" t="e">
        <f t="shared" si="2"/>
        <v>#N/A</v>
      </c>
      <c r="AM27" s="117" t="e">
        <f t="shared" si="2"/>
        <v>#N/A</v>
      </c>
      <c r="AN27" s="117" t="e">
        <f t="shared" si="2"/>
        <v>#N/A</v>
      </c>
      <c r="AO27" s="107" t="e">
        <f t="shared" si="1"/>
        <v>#N/A</v>
      </c>
      <c r="AP27" s="80"/>
      <c r="AQ27" s="80"/>
      <c r="AR27" s="80"/>
      <c r="AS27" s="80"/>
      <c r="AT27" s="80"/>
      <c r="AU27" s="80"/>
      <c r="AV27" s="80"/>
      <c r="AW27" s="80"/>
      <c r="AX27" s="80"/>
      <c r="AY27" s="80"/>
      <c r="AZ27" s="80"/>
      <c r="BA27" s="80"/>
    </row>
    <row r="28" spans="1:53" s="75" customFormat="1" x14ac:dyDescent="0.25">
      <c r="A28" s="110"/>
      <c r="B28" s="111"/>
      <c r="C28" s="112"/>
      <c r="D28" s="111"/>
      <c r="E28" s="54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Arm9'!D28,Staff_Costs[[#All],[Role]],0),MATCH("Per-minute cost",Staff_Costs[#Headers],0))*'Per-Participant Activities Arm9'!C28)</f>
        <v>#N/A</v>
      </c>
      <c r="AJ28" s="117" t="e">
        <f t="shared" si="2"/>
        <v>#N/A</v>
      </c>
      <c r="AK28" s="117" t="e">
        <f t="shared" si="2"/>
        <v>#N/A</v>
      </c>
      <c r="AL28" s="117" t="e">
        <f t="shared" si="2"/>
        <v>#N/A</v>
      </c>
      <c r="AM28" s="117" t="e">
        <f t="shared" si="2"/>
        <v>#N/A</v>
      </c>
      <c r="AN28" s="117" t="e">
        <f t="shared" si="2"/>
        <v>#N/A</v>
      </c>
      <c r="AO28" s="107" t="e">
        <f t="shared" si="1"/>
        <v>#N/A</v>
      </c>
      <c r="AP28" s="80"/>
      <c r="AQ28" s="80"/>
      <c r="AR28" s="80"/>
      <c r="AS28" s="80"/>
      <c r="AT28" s="80"/>
      <c r="AU28" s="80"/>
      <c r="AV28" s="80"/>
      <c r="AW28" s="80"/>
      <c r="AX28" s="80"/>
      <c r="AY28" s="80"/>
      <c r="AZ28" s="80"/>
      <c r="BA28" s="80"/>
    </row>
    <row r="29" spans="1:53" s="75" customFormat="1" x14ac:dyDescent="0.25">
      <c r="A29" s="110"/>
      <c r="B29" s="111"/>
      <c r="C29" s="112"/>
      <c r="D29" s="111"/>
      <c r="E29" s="54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Arm9'!D29,Staff_Costs[[#All],[Role]],0),MATCH("Per-minute cost",Staff_Costs[#Headers],0))*'Per-Participant Activities Arm9'!C29)</f>
        <v>#N/A</v>
      </c>
      <c r="AJ29" s="117" t="e">
        <f t="shared" si="2"/>
        <v>#N/A</v>
      </c>
      <c r="AK29" s="117" t="e">
        <f t="shared" si="2"/>
        <v>#N/A</v>
      </c>
      <c r="AL29" s="117" t="e">
        <f t="shared" si="2"/>
        <v>#N/A</v>
      </c>
      <c r="AM29" s="117" t="e">
        <f t="shared" si="2"/>
        <v>#N/A</v>
      </c>
      <c r="AN29" s="117" t="e">
        <f t="shared" si="2"/>
        <v>#N/A</v>
      </c>
      <c r="AO29" s="107" t="e">
        <f t="shared" si="1"/>
        <v>#N/A</v>
      </c>
      <c r="AP29" s="80"/>
      <c r="AQ29" s="80"/>
      <c r="AR29" s="80"/>
      <c r="AS29" s="80"/>
      <c r="AT29" s="80"/>
      <c r="AU29" s="80"/>
      <c r="AV29" s="80"/>
      <c r="AW29" s="80"/>
      <c r="AX29" s="80"/>
      <c r="AY29" s="80"/>
      <c r="AZ29" s="80"/>
      <c r="BA29" s="80"/>
    </row>
    <row r="30" spans="1:53" s="75" customFormat="1" x14ac:dyDescent="0.25">
      <c r="A30" s="110"/>
      <c r="B30" s="111"/>
      <c r="C30" s="112"/>
      <c r="D30" s="111"/>
      <c r="E30" s="54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Arm9'!D30,Staff_Costs[[#All],[Role]],0),MATCH("Per-minute cost",Staff_Costs[#Headers],0))*'Per-Participant Activities Arm9'!C30)</f>
        <v>#N/A</v>
      </c>
      <c r="AJ30" s="117" t="e">
        <f t="shared" ref="AJ30:AN39" si="3">COUNTIF($F30:$AH30, AJ$8)*$AI30</f>
        <v>#N/A</v>
      </c>
      <c r="AK30" s="117" t="e">
        <f t="shared" si="3"/>
        <v>#N/A</v>
      </c>
      <c r="AL30" s="117" t="e">
        <f t="shared" si="3"/>
        <v>#N/A</v>
      </c>
      <c r="AM30" s="117" t="e">
        <f t="shared" si="3"/>
        <v>#N/A</v>
      </c>
      <c r="AN30" s="117" t="e">
        <f t="shared" si="3"/>
        <v>#N/A</v>
      </c>
      <c r="AO30" s="107" t="e">
        <f t="shared" si="1"/>
        <v>#N/A</v>
      </c>
      <c r="AP30" s="80"/>
      <c r="AQ30" s="80"/>
      <c r="AR30" s="80"/>
      <c r="AS30" s="80"/>
      <c r="AT30" s="80"/>
      <c r="AU30" s="80"/>
      <c r="AV30" s="80"/>
      <c r="AW30" s="80"/>
      <c r="AX30" s="80"/>
      <c r="AY30" s="80"/>
      <c r="AZ30" s="80"/>
      <c r="BA30" s="80"/>
    </row>
    <row r="31" spans="1:53" s="75" customFormat="1" x14ac:dyDescent="0.25">
      <c r="A31" s="110"/>
      <c r="B31" s="111"/>
      <c r="C31" s="112"/>
      <c r="D31" s="111"/>
      <c r="E31" s="54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Arm9'!D31,Staff_Costs[[#All],[Role]],0),MATCH("Per-minute cost",Staff_Costs[#Headers],0))*'Per-Participant Activities Arm9'!C31)</f>
        <v>#N/A</v>
      </c>
      <c r="AJ31" s="117" t="e">
        <f t="shared" si="3"/>
        <v>#N/A</v>
      </c>
      <c r="AK31" s="117" t="e">
        <f t="shared" si="3"/>
        <v>#N/A</v>
      </c>
      <c r="AL31" s="117" t="e">
        <f t="shared" si="3"/>
        <v>#N/A</v>
      </c>
      <c r="AM31" s="117" t="e">
        <f t="shared" si="3"/>
        <v>#N/A</v>
      </c>
      <c r="AN31" s="117" t="e">
        <f t="shared" si="3"/>
        <v>#N/A</v>
      </c>
      <c r="AO31" s="107" t="e">
        <f t="shared" si="1"/>
        <v>#N/A</v>
      </c>
      <c r="AP31" s="80"/>
      <c r="AQ31" s="80"/>
      <c r="AR31" s="80"/>
      <c r="AS31" s="80"/>
      <c r="AT31" s="80"/>
      <c r="AU31" s="80"/>
      <c r="AV31" s="80"/>
      <c r="AW31" s="80"/>
      <c r="AX31" s="80"/>
      <c r="AY31" s="80"/>
      <c r="AZ31" s="80"/>
      <c r="BA31" s="80"/>
    </row>
    <row r="32" spans="1:53" s="75" customFormat="1" x14ac:dyDescent="0.25">
      <c r="A32" s="110"/>
      <c r="B32" s="111"/>
      <c r="C32" s="112"/>
      <c r="D32" s="111"/>
      <c r="E32" s="54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Arm9'!D32,Staff_Costs[[#All],[Role]],0),MATCH("Per-minute cost",Staff_Costs[#Headers],0))*'Per-Participant Activities Arm9'!C32)</f>
        <v>#N/A</v>
      </c>
      <c r="AJ32" s="117" t="e">
        <f t="shared" si="3"/>
        <v>#N/A</v>
      </c>
      <c r="AK32" s="117" t="e">
        <f t="shared" si="3"/>
        <v>#N/A</v>
      </c>
      <c r="AL32" s="117" t="e">
        <f t="shared" si="3"/>
        <v>#N/A</v>
      </c>
      <c r="AM32" s="117" t="e">
        <f t="shared" si="3"/>
        <v>#N/A</v>
      </c>
      <c r="AN32" s="117" t="e">
        <f t="shared" si="3"/>
        <v>#N/A</v>
      </c>
      <c r="AO32" s="107" t="e">
        <f t="shared" si="1"/>
        <v>#N/A</v>
      </c>
      <c r="AP32" s="80"/>
      <c r="AQ32" s="80"/>
      <c r="AR32" s="80"/>
      <c r="AS32" s="80"/>
      <c r="AT32" s="80"/>
      <c r="AU32" s="80"/>
      <c r="AV32" s="80"/>
      <c r="AW32" s="80"/>
      <c r="AX32" s="80"/>
      <c r="AY32" s="80"/>
      <c r="AZ32" s="80"/>
      <c r="BA32" s="80"/>
    </row>
    <row r="33" spans="1:53" s="75" customFormat="1" x14ac:dyDescent="0.25">
      <c r="A33" s="110"/>
      <c r="B33" s="111"/>
      <c r="C33" s="112"/>
      <c r="D33" s="111"/>
      <c r="E33" s="54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Arm9'!D33,Staff_Costs[[#All],[Role]],0),MATCH("Per-minute cost",Staff_Costs[#Headers],0))*'Per-Participant Activities Arm9'!C33)</f>
        <v>#N/A</v>
      </c>
      <c r="AJ33" s="117" t="e">
        <f t="shared" si="3"/>
        <v>#N/A</v>
      </c>
      <c r="AK33" s="117" t="e">
        <f t="shared" si="3"/>
        <v>#N/A</v>
      </c>
      <c r="AL33" s="117" t="e">
        <f t="shared" si="3"/>
        <v>#N/A</v>
      </c>
      <c r="AM33" s="117" t="e">
        <f t="shared" si="3"/>
        <v>#N/A</v>
      </c>
      <c r="AN33" s="117" t="e">
        <f t="shared" si="3"/>
        <v>#N/A</v>
      </c>
      <c r="AO33" s="107" t="e">
        <f t="shared" si="1"/>
        <v>#N/A</v>
      </c>
      <c r="AP33" s="80"/>
      <c r="AQ33" s="80"/>
      <c r="AR33" s="80"/>
      <c r="AS33" s="80"/>
      <c r="AT33" s="80"/>
      <c r="AU33" s="80"/>
      <c r="AV33" s="80"/>
      <c r="AW33" s="80"/>
      <c r="AX33" s="80"/>
      <c r="AY33" s="80"/>
      <c r="AZ33" s="80"/>
      <c r="BA33" s="80"/>
    </row>
    <row r="34" spans="1:53" s="75" customFormat="1" x14ac:dyDescent="0.25">
      <c r="A34" s="110"/>
      <c r="B34" s="111"/>
      <c r="C34" s="112"/>
      <c r="D34" s="111"/>
      <c r="E34" s="54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Arm9'!D34,Staff_Costs[[#All],[Role]],0),MATCH("Per-minute cost",Staff_Costs[#Headers],0))*'Per-Participant Activities Arm9'!C34)</f>
        <v>#N/A</v>
      </c>
      <c r="AJ34" s="117" t="e">
        <f t="shared" si="3"/>
        <v>#N/A</v>
      </c>
      <c r="AK34" s="117" t="e">
        <f t="shared" si="3"/>
        <v>#N/A</v>
      </c>
      <c r="AL34" s="117" t="e">
        <f t="shared" si="3"/>
        <v>#N/A</v>
      </c>
      <c r="AM34" s="117" t="e">
        <f t="shared" si="3"/>
        <v>#N/A</v>
      </c>
      <c r="AN34" s="117" t="e">
        <f t="shared" si="3"/>
        <v>#N/A</v>
      </c>
      <c r="AO34" s="107" t="e">
        <f t="shared" si="1"/>
        <v>#N/A</v>
      </c>
      <c r="AP34" s="80"/>
      <c r="AQ34" s="80"/>
      <c r="AR34" s="80"/>
      <c r="AS34" s="80"/>
      <c r="AT34" s="80"/>
      <c r="AU34" s="80"/>
      <c r="AV34" s="80"/>
      <c r="AW34" s="80"/>
      <c r="AX34" s="80"/>
      <c r="AY34" s="80"/>
      <c r="AZ34" s="80"/>
      <c r="BA34" s="80"/>
    </row>
    <row r="35" spans="1:53" s="75" customFormat="1" x14ac:dyDescent="0.25">
      <c r="A35" s="110"/>
      <c r="B35" s="111"/>
      <c r="C35" s="112"/>
      <c r="D35" s="111"/>
      <c r="E35" s="54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Arm9'!D35,Staff_Costs[[#All],[Role]],0),MATCH("Per-minute cost",Staff_Costs[#Headers],0))*'Per-Participant Activities Arm9'!C35)</f>
        <v>#N/A</v>
      </c>
      <c r="AJ35" s="117" t="e">
        <f t="shared" si="3"/>
        <v>#N/A</v>
      </c>
      <c r="AK35" s="117" t="e">
        <f t="shared" si="3"/>
        <v>#N/A</v>
      </c>
      <c r="AL35" s="117" t="e">
        <f t="shared" si="3"/>
        <v>#N/A</v>
      </c>
      <c r="AM35" s="117" t="e">
        <f t="shared" si="3"/>
        <v>#N/A</v>
      </c>
      <c r="AN35" s="117" t="e">
        <f t="shared" si="3"/>
        <v>#N/A</v>
      </c>
      <c r="AO35" s="107" t="e">
        <f t="shared" si="1"/>
        <v>#N/A</v>
      </c>
      <c r="AP35" s="80"/>
      <c r="AQ35" s="80"/>
      <c r="AR35" s="80"/>
      <c r="AS35" s="80"/>
      <c r="AT35" s="80"/>
      <c r="AU35" s="80"/>
      <c r="AV35" s="80"/>
      <c r="AW35" s="80"/>
      <c r="AX35" s="80"/>
      <c r="AY35" s="80"/>
      <c r="AZ35" s="80"/>
      <c r="BA35" s="80"/>
    </row>
    <row r="36" spans="1:53" s="75" customFormat="1" x14ac:dyDescent="0.25">
      <c r="A36" s="110"/>
      <c r="B36" s="111"/>
      <c r="C36" s="112"/>
      <c r="D36" s="111"/>
      <c r="E36" s="54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Arm9'!D36,Staff_Costs[[#All],[Role]],0),MATCH("Per-minute cost",Staff_Costs[#Headers],0))*'Per-Participant Activities Arm9'!C36)</f>
        <v>#N/A</v>
      </c>
      <c r="AJ36" s="117" t="e">
        <f t="shared" si="3"/>
        <v>#N/A</v>
      </c>
      <c r="AK36" s="117" t="e">
        <f t="shared" si="3"/>
        <v>#N/A</v>
      </c>
      <c r="AL36" s="117" t="e">
        <f t="shared" si="3"/>
        <v>#N/A</v>
      </c>
      <c r="AM36" s="117" t="e">
        <f t="shared" si="3"/>
        <v>#N/A</v>
      </c>
      <c r="AN36" s="117" t="e">
        <f t="shared" si="3"/>
        <v>#N/A</v>
      </c>
      <c r="AO36" s="107" t="e">
        <f t="shared" si="1"/>
        <v>#N/A</v>
      </c>
      <c r="AP36" s="80"/>
      <c r="AQ36" s="80"/>
      <c r="AR36" s="80"/>
      <c r="AS36" s="80"/>
      <c r="AT36" s="80"/>
      <c r="AU36" s="80"/>
      <c r="AV36" s="80"/>
      <c r="AW36" s="80"/>
      <c r="AX36" s="80"/>
      <c r="AY36" s="80"/>
      <c r="AZ36" s="80"/>
      <c r="BA36" s="80"/>
    </row>
    <row r="37" spans="1:53" s="75" customFormat="1" x14ac:dyDescent="0.25">
      <c r="A37" s="110"/>
      <c r="B37" s="111"/>
      <c r="C37" s="112"/>
      <c r="D37" s="111"/>
      <c r="E37" s="54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Arm9'!D37,Staff_Costs[[#All],[Role]],0),MATCH("Per-minute cost",Staff_Costs[#Headers],0))*'Per-Participant Activities Arm9'!C37)</f>
        <v>#N/A</v>
      </c>
      <c r="AJ37" s="117" t="e">
        <f t="shared" si="3"/>
        <v>#N/A</v>
      </c>
      <c r="AK37" s="117" t="e">
        <f t="shared" si="3"/>
        <v>#N/A</v>
      </c>
      <c r="AL37" s="117" t="e">
        <f t="shared" si="3"/>
        <v>#N/A</v>
      </c>
      <c r="AM37" s="117" t="e">
        <f t="shared" si="3"/>
        <v>#N/A</v>
      </c>
      <c r="AN37" s="117" t="e">
        <f t="shared" si="3"/>
        <v>#N/A</v>
      </c>
      <c r="AO37" s="107" t="e">
        <f t="shared" si="1"/>
        <v>#N/A</v>
      </c>
      <c r="AP37" s="80"/>
      <c r="AQ37" s="80"/>
      <c r="AR37" s="80"/>
      <c r="AS37" s="80"/>
      <c r="AT37" s="80"/>
      <c r="AU37" s="80"/>
      <c r="AV37" s="80"/>
      <c r="AW37" s="80"/>
      <c r="AX37" s="80"/>
      <c r="AY37" s="80"/>
      <c r="AZ37" s="80"/>
      <c r="BA37" s="80"/>
    </row>
    <row r="38" spans="1:53" s="75" customFormat="1" x14ac:dyDescent="0.25">
      <c r="A38" s="110"/>
      <c r="B38" s="111"/>
      <c r="C38" s="112"/>
      <c r="D38" s="111"/>
      <c r="E38" s="54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Arm9'!D38,Staff_Costs[[#All],[Role]],0),MATCH("Per-minute cost",Staff_Costs[#Headers],0))*'Per-Participant Activities Arm9'!C38)</f>
        <v>#N/A</v>
      </c>
      <c r="AJ38" s="117" t="e">
        <f t="shared" si="3"/>
        <v>#N/A</v>
      </c>
      <c r="AK38" s="117" t="e">
        <f t="shared" si="3"/>
        <v>#N/A</v>
      </c>
      <c r="AL38" s="117" t="e">
        <f t="shared" si="3"/>
        <v>#N/A</v>
      </c>
      <c r="AM38" s="117" t="e">
        <f t="shared" si="3"/>
        <v>#N/A</v>
      </c>
      <c r="AN38" s="117" t="e">
        <f t="shared" si="3"/>
        <v>#N/A</v>
      </c>
      <c r="AO38" s="107" t="e">
        <f t="shared" si="1"/>
        <v>#N/A</v>
      </c>
      <c r="AP38" s="80"/>
      <c r="AQ38" s="80"/>
      <c r="AR38" s="80"/>
      <c r="AS38" s="80"/>
      <c r="AT38" s="80"/>
      <c r="AU38" s="80"/>
      <c r="AV38" s="80"/>
      <c r="AW38" s="80"/>
      <c r="AX38" s="80"/>
      <c r="AY38" s="80"/>
      <c r="AZ38" s="80"/>
      <c r="BA38" s="80"/>
    </row>
    <row r="39" spans="1:53" s="75" customFormat="1" x14ac:dyDescent="0.25">
      <c r="A39" s="110"/>
      <c r="B39" s="111"/>
      <c r="C39" s="112"/>
      <c r="D39" s="111"/>
      <c r="E39" s="54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Arm9'!D39,Staff_Costs[[#All],[Role]],0),MATCH("Per-minute cost",Staff_Costs[#Headers],0))*'Per-Participant Activities Arm9'!C39)</f>
        <v>#N/A</v>
      </c>
      <c r="AJ39" s="117" t="e">
        <f t="shared" si="3"/>
        <v>#N/A</v>
      </c>
      <c r="AK39" s="117" t="e">
        <f t="shared" si="3"/>
        <v>#N/A</v>
      </c>
      <c r="AL39" s="117" t="e">
        <f t="shared" si="3"/>
        <v>#N/A</v>
      </c>
      <c r="AM39" s="117" t="e">
        <f t="shared" si="3"/>
        <v>#N/A</v>
      </c>
      <c r="AN39" s="117" t="e">
        <f t="shared" si="3"/>
        <v>#N/A</v>
      </c>
      <c r="AO39" s="107" t="e">
        <f t="shared" si="1"/>
        <v>#N/A</v>
      </c>
      <c r="AP39" s="80"/>
      <c r="AQ39" s="80"/>
      <c r="AR39" s="80"/>
      <c r="AS39" s="80"/>
      <c r="AT39" s="80"/>
      <c r="AU39" s="80"/>
      <c r="AV39" s="80"/>
      <c r="AW39" s="80"/>
      <c r="AX39" s="80"/>
      <c r="AY39" s="80"/>
      <c r="AZ39" s="80"/>
      <c r="BA39" s="80"/>
    </row>
    <row r="40" spans="1:53" s="75" customFormat="1" x14ac:dyDescent="0.25">
      <c r="A40" s="110"/>
      <c r="B40" s="111"/>
      <c r="C40" s="112"/>
      <c r="D40" s="111"/>
      <c r="E40" s="54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Arm9'!D40,Staff_Costs[[#All],[Role]],0),MATCH("Per-minute cost",Staff_Costs[#Headers],0))*'Per-Participant Activities Arm9'!C40)</f>
        <v>#N/A</v>
      </c>
      <c r="AJ40" s="117" t="e">
        <f t="shared" ref="AJ40:AN49" si="4">COUNTIF($F40:$AH40, AJ$8)*$AI40</f>
        <v>#N/A</v>
      </c>
      <c r="AK40" s="117" t="e">
        <f t="shared" si="4"/>
        <v>#N/A</v>
      </c>
      <c r="AL40" s="117" t="e">
        <f t="shared" si="4"/>
        <v>#N/A</v>
      </c>
      <c r="AM40" s="117" t="e">
        <f t="shared" si="4"/>
        <v>#N/A</v>
      </c>
      <c r="AN40" s="117" t="e">
        <f t="shared" si="4"/>
        <v>#N/A</v>
      </c>
      <c r="AO40" s="107" t="e">
        <f t="shared" si="1"/>
        <v>#N/A</v>
      </c>
      <c r="AP40" s="80"/>
      <c r="AQ40" s="80"/>
      <c r="AR40" s="80"/>
      <c r="AS40" s="80"/>
      <c r="AT40" s="80"/>
      <c r="AU40" s="80"/>
      <c r="AV40" s="80"/>
      <c r="AW40" s="80"/>
      <c r="AX40" s="80"/>
      <c r="AY40" s="80"/>
      <c r="AZ40" s="80"/>
      <c r="BA40" s="80"/>
    </row>
    <row r="41" spans="1:53" s="75" customFormat="1" x14ac:dyDescent="0.25">
      <c r="A41" s="110"/>
      <c r="B41" s="111"/>
      <c r="C41" s="112"/>
      <c r="D41" s="111"/>
      <c r="E41" s="54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Arm9'!D41,Staff_Costs[[#All],[Role]],0),MATCH("Per-minute cost",Staff_Costs[#Headers],0))*'Per-Participant Activities Arm9'!C41)</f>
        <v>#N/A</v>
      </c>
      <c r="AJ41" s="117" t="e">
        <f t="shared" si="4"/>
        <v>#N/A</v>
      </c>
      <c r="AK41" s="117" t="e">
        <f t="shared" si="4"/>
        <v>#N/A</v>
      </c>
      <c r="AL41" s="117" t="e">
        <f t="shared" si="4"/>
        <v>#N/A</v>
      </c>
      <c r="AM41" s="117" t="e">
        <f t="shared" si="4"/>
        <v>#N/A</v>
      </c>
      <c r="AN41" s="117" t="e">
        <f t="shared" si="4"/>
        <v>#N/A</v>
      </c>
      <c r="AO41" s="107" t="e">
        <f t="shared" si="1"/>
        <v>#N/A</v>
      </c>
      <c r="AP41" s="80"/>
      <c r="AQ41" s="80"/>
      <c r="AR41" s="80"/>
      <c r="AS41" s="80"/>
      <c r="AT41" s="80"/>
      <c r="AU41" s="80"/>
      <c r="AV41" s="80"/>
      <c r="AW41" s="80"/>
      <c r="AX41" s="80"/>
      <c r="AY41" s="80"/>
      <c r="AZ41" s="80"/>
      <c r="BA41" s="80"/>
    </row>
    <row r="42" spans="1:53" s="75" customFormat="1" x14ac:dyDescent="0.25">
      <c r="A42" s="110"/>
      <c r="B42" s="111"/>
      <c r="C42" s="112"/>
      <c r="D42" s="111"/>
      <c r="E42" s="54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Arm9'!D42,Staff_Costs[[#All],[Role]],0),MATCH("Per-minute cost",Staff_Costs[#Headers],0))*'Per-Participant Activities Arm9'!C42)</f>
        <v>#N/A</v>
      </c>
      <c r="AJ42" s="117" t="e">
        <f t="shared" si="4"/>
        <v>#N/A</v>
      </c>
      <c r="AK42" s="117" t="e">
        <f t="shared" si="4"/>
        <v>#N/A</v>
      </c>
      <c r="AL42" s="117" t="e">
        <f t="shared" si="4"/>
        <v>#N/A</v>
      </c>
      <c r="AM42" s="117" t="e">
        <f t="shared" si="4"/>
        <v>#N/A</v>
      </c>
      <c r="AN42" s="117" t="e">
        <f t="shared" si="4"/>
        <v>#N/A</v>
      </c>
      <c r="AO42" s="107" t="e">
        <f t="shared" ref="AO42:AO64" si="5">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4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Arm9'!D43,Staff_Costs[[#All],[Role]],0),MATCH("Per-minute cost",Staff_Costs[#Headers],0))*'Per-Participant Activities Arm9'!C43)</f>
        <v>#N/A</v>
      </c>
      <c r="AJ43" s="117" t="e">
        <f t="shared" si="4"/>
        <v>#N/A</v>
      </c>
      <c r="AK43" s="117" t="e">
        <f t="shared" si="4"/>
        <v>#N/A</v>
      </c>
      <c r="AL43" s="117" t="e">
        <f t="shared" si="4"/>
        <v>#N/A</v>
      </c>
      <c r="AM43" s="117" t="e">
        <f t="shared" si="4"/>
        <v>#N/A</v>
      </c>
      <c r="AN43" s="117" t="e">
        <f t="shared" si="4"/>
        <v>#N/A</v>
      </c>
      <c r="AO43" s="107" t="e">
        <f t="shared" si="5"/>
        <v>#N/A</v>
      </c>
      <c r="AP43" s="80"/>
      <c r="AQ43" s="80"/>
      <c r="AR43" s="80"/>
      <c r="AS43" s="80"/>
      <c r="AT43" s="80"/>
      <c r="AU43" s="80"/>
      <c r="AV43" s="80"/>
      <c r="AW43" s="80"/>
      <c r="AX43" s="80"/>
      <c r="AY43" s="80"/>
      <c r="AZ43" s="80"/>
      <c r="BA43" s="80"/>
    </row>
    <row r="44" spans="1:53" s="75" customFormat="1" x14ac:dyDescent="0.25">
      <c r="A44" s="110"/>
      <c r="B44" s="111"/>
      <c r="C44" s="112"/>
      <c r="D44" s="111"/>
      <c r="E44" s="54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Arm9'!D44,Staff_Costs[[#All],[Role]],0),MATCH("Per-minute cost",Staff_Costs[#Headers],0))*'Per-Participant Activities Arm9'!C44)</f>
        <v>#N/A</v>
      </c>
      <c r="AJ44" s="117" t="e">
        <f t="shared" si="4"/>
        <v>#N/A</v>
      </c>
      <c r="AK44" s="117" t="e">
        <f t="shared" si="4"/>
        <v>#N/A</v>
      </c>
      <c r="AL44" s="117" t="e">
        <f t="shared" si="4"/>
        <v>#N/A</v>
      </c>
      <c r="AM44" s="117" t="e">
        <f t="shared" si="4"/>
        <v>#N/A</v>
      </c>
      <c r="AN44" s="117" t="e">
        <f t="shared" si="4"/>
        <v>#N/A</v>
      </c>
      <c r="AO44" s="107" t="e">
        <f t="shared" si="5"/>
        <v>#N/A</v>
      </c>
      <c r="AP44" s="80"/>
      <c r="AQ44" s="80"/>
      <c r="AR44" s="80"/>
      <c r="AS44" s="80"/>
      <c r="AT44" s="80"/>
      <c r="AU44" s="80"/>
      <c r="AV44" s="80"/>
      <c r="AW44" s="80"/>
      <c r="AX44" s="80"/>
      <c r="AY44" s="80"/>
      <c r="AZ44" s="80"/>
      <c r="BA44" s="80"/>
    </row>
    <row r="45" spans="1:53" s="75" customFormat="1" x14ac:dyDescent="0.25">
      <c r="A45" s="110"/>
      <c r="B45" s="111"/>
      <c r="C45" s="112"/>
      <c r="D45" s="111"/>
      <c r="E45" s="54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Arm9'!D45,Staff_Costs[[#All],[Role]],0),MATCH("Per-minute cost",Staff_Costs[#Headers],0))*'Per-Participant Activities Arm9'!C45)</f>
        <v>#N/A</v>
      </c>
      <c r="AJ45" s="117" t="e">
        <f t="shared" si="4"/>
        <v>#N/A</v>
      </c>
      <c r="AK45" s="117" t="e">
        <f t="shared" si="4"/>
        <v>#N/A</v>
      </c>
      <c r="AL45" s="117" t="e">
        <f t="shared" si="4"/>
        <v>#N/A</v>
      </c>
      <c r="AM45" s="117" t="e">
        <f t="shared" si="4"/>
        <v>#N/A</v>
      </c>
      <c r="AN45" s="117" t="e">
        <f t="shared" si="4"/>
        <v>#N/A</v>
      </c>
      <c r="AO45" s="107" t="e">
        <f t="shared" si="5"/>
        <v>#N/A</v>
      </c>
      <c r="AP45" s="80"/>
      <c r="AQ45" s="80"/>
      <c r="AR45" s="80"/>
      <c r="AS45" s="80"/>
      <c r="AT45" s="80"/>
      <c r="AU45" s="80"/>
      <c r="AV45" s="80"/>
      <c r="AW45" s="80"/>
      <c r="AX45" s="80"/>
      <c r="AY45" s="80"/>
      <c r="AZ45" s="80"/>
      <c r="BA45" s="80"/>
    </row>
    <row r="46" spans="1:53" s="75" customFormat="1" x14ac:dyDescent="0.25">
      <c r="A46" s="110"/>
      <c r="B46" s="111"/>
      <c r="C46" s="112"/>
      <c r="D46" s="111"/>
      <c r="E46" s="54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Arm9'!D46,Staff_Costs[[#All],[Role]],0),MATCH("Per-minute cost",Staff_Costs[#Headers],0))*'Per-Participant Activities Arm9'!C46)</f>
        <v>#N/A</v>
      </c>
      <c r="AJ46" s="117" t="e">
        <f t="shared" si="4"/>
        <v>#N/A</v>
      </c>
      <c r="AK46" s="117" t="e">
        <f t="shared" si="4"/>
        <v>#N/A</v>
      </c>
      <c r="AL46" s="117" t="e">
        <f t="shared" si="4"/>
        <v>#N/A</v>
      </c>
      <c r="AM46" s="117" t="e">
        <f t="shared" si="4"/>
        <v>#N/A</v>
      </c>
      <c r="AN46" s="117" t="e">
        <f t="shared" si="4"/>
        <v>#N/A</v>
      </c>
      <c r="AO46" s="107" t="e">
        <f t="shared" si="5"/>
        <v>#N/A</v>
      </c>
      <c r="AP46" s="80"/>
      <c r="AQ46" s="80"/>
      <c r="AR46" s="80"/>
      <c r="AS46" s="80"/>
      <c r="AT46" s="80"/>
      <c r="AU46" s="80"/>
      <c r="AV46" s="80"/>
      <c r="AW46" s="80"/>
      <c r="AX46" s="80"/>
      <c r="AY46" s="80"/>
      <c r="AZ46" s="80"/>
      <c r="BA46" s="80"/>
    </row>
    <row r="47" spans="1:53" s="75" customFormat="1" x14ac:dyDescent="0.25">
      <c r="A47" s="110"/>
      <c r="B47" s="111"/>
      <c r="C47" s="112"/>
      <c r="D47" s="111"/>
      <c r="E47" s="54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Arm9'!D47,Staff_Costs[[#All],[Role]],0),MATCH("Per-minute cost",Staff_Costs[#Headers],0))*'Per-Participant Activities Arm9'!C47)</f>
        <v>#N/A</v>
      </c>
      <c r="AJ47" s="117" t="e">
        <f t="shared" si="4"/>
        <v>#N/A</v>
      </c>
      <c r="AK47" s="117" t="e">
        <f t="shared" si="4"/>
        <v>#N/A</v>
      </c>
      <c r="AL47" s="117" t="e">
        <f t="shared" si="4"/>
        <v>#N/A</v>
      </c>
      <c r="AM47" s="117" t="e">
        <f t="shared" si="4"/>
        <v>#N/A</v>
      </c>
      <c r="AN47" s="117" t="e">
        <f t="shared" si="4"/>
        <v>#N/A</v>
      </c>
      <c r="AO47" s="107" t="e">
        <f t="shared" si="5"/>
        <v>#N/A</v>
      </c>
      <c r="AP47" s="80"/>
      <c r="AQ47" s="80"/>
      <c r="AR47" s="80"/>
      <c r="AS47" s="80"/>
      <c r="AT47" s="80"/>
      <c r="AU47" s="80"/>
      <c r="AV47" s="80"/>
      <c r="AW47" s="80"/>
      <c r="AX47" s="80"/>
      <c r="AY47" s="80"/>
      <c r="AZ47" s="80"/>
      <c r="BA47" s="80"/>
    </row>
    <row r="48" spans="1:53" s="75" customFormat="1" x14ac:dyDescent="0.25">
      <c r="A48" s="110"/>
      <c r="B48" s="111"/>
      <c r="C48" s="112"/>
      <c r="D48" s="111"/>
      <c r="E48" s="54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Arm9'!D48,Staff_Costs[[#All],[Role]],0),MATCH("Per-minute cost",Staff_Costs[#Headers],0))*'Per-Participant Activities Arm9'!C48)</f>
        <v>#N/A</v>
      </c>
      <c r="AJ48" s="117" t="e">
        <f t="shared" si="4"/>
        <v>#N/A</v>
      </c>
      <c r="AK48" s="117" t="e">
        <f t="shared" si="4"/>
        <v>#N/A</v>
      </c>
      <c r="AL48" s="117" t="e">
        <f t="shared" si="4"/>
        <v>#N/A</v>
      </c>
      <c r="AM48" s="117" t="e">
        <f t="shared" si="4"/>
        <v>#N/A</v>
      </c>
      <c r="AN48" s="117" t="e">
        <f t="shared" si="4"/>
        <v>#N/A</v>
      </c>
      <c r="AO48" s="107" t="e">
        <f t="shared" si="5"/>
        <v>#N/A</v>
      </c>
      <c r="AP48" s="80"/>
      <c r="AQ48" s="80"/>
      <c r="AR48" s="80"/>
      <c r="AS48" s="80"/>
      <c r="AT48" s="80"/>
      <c r="AU48" s="80"/>
      <c r="AV48" s="80"/>
      <c r="AW48" s="80"/>
      <c r="AX48" s="80"/>
      <c r="AY48" s="80"/>
      <c r="AZ48" s="80"/>
      <c r="BA48" s="80"/>
    </row>
    <row r="49" spans="1:53" s="75" customFormat="1" x14ac:dyDescent="0.25">
      <c r="A49" s="110"/>
      <c r="B49" s="111"/>
      <c r="C49" s="112"/>
      <c r="D49" s="111"/>
      <c r="E49" s="54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Arm9'!D49,Staff_Costs[[#All],[Role]],0),MATCH("Per-minute cost",Staff_Costs[#Headers],0))*'Per-Participant Activities Arm9'!C49)</f>
        <v>#N/A</v>
      </c>
      <c r="AJ49" s="117" t="e">
        <f t="shared" si="4"/>
        <v>#N/A</v>
      </c>
      <c r="AK49" s="117" t="e">
        <f t="shared" si="4"/>
        <v>#N/A</v>
      </c>
      <c r="AL49" s="117" t="e">
        <f t="shared" si="4"/>
        <v>#N/A</v>
      </c>
      <c r="AM49" s="117" t="e">
        <f t="shared" si="4"/>
        <v>#N/A</v>
      </c>
      <c r="AN49" s="117" t="e">
        <f t="shared" si="4"/>
        <v>#N/A</v>
      </c>
      <c r="AO49" s="107" t="e">
        <f t="shared" si="5"/>
        <v>#N/A</v>
      </c>
      <c r="AP49" s="80"/>
      <c r="AQ49" s="80"/>
      <c r="AR49" s="80"/>
      <c r="AS49" s="80"/>
      <c r="AT49" s="80"/>
      <c r="AU49" s="80"/>
      <c r="AV49" s="80"/>
      <c r="AW49" s="80"/>
      <c r="AX49" s="80"/>
      <c r="AY49" s="80"/>
      <c r="AZ49" s="80"/>
      <c r="BA49" s="80"/>
    </row>
    <row r="50" spans="1:53" s="75" customFormat="1" x14ac:dyDescent="0.25">
      <c r="A50" s="110"/>
      <c r="B50" s="111"/>
      <c r="C50" s="112"/>
      <c r="D50" s="111"/>
      <c r="E50" s="54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Arm9'!D50,Staff_Costs[[#All],[Role]],0),MATCH("Per-minute cost",Staff_Costs[#Headers],0))*'Per-Participant Activities Arm9'!C50)</f>
        <v>#N/A</v>
      </c>
      <c r="AJ50" s="117" t="e">
        <f t="shared" ref="AJ50:AN59" si="6">COUNTIF($F50:$AH50, AJ$8)*$AI50</f>
        <v>#N/A</v>
      </c>
      <c r="AK50" s="117" t="e">
        <f t="shared" si="6"/>
        <v>#N/A</v>
      </c>
      <c r="AL50" s="117" t="e">
        <f t="shared" si="6"/>
        <v>#N/A</v>
      </c>
      <c r="AM50" s="117" t="e">
        <f t="shared" si="6"/>
        <v>#N/A</v>
      </c>
      <c r="AN50" s="117" t="e">
        <f t="shared" si="6"/>
        <v>#N/A</v>
      </c>
      <c r="AO50" s="107" t="e">
        <f t="shared" si="5"/>
        <v>#N/A</v>
      </c>
      <c r="AP50" s="80"/>
      <c r="AQ50" s="80"/>
      <c r="AR50" s="80"/>
      <c r="AS50" s="80"/>
      <c r="AT50" s="80"/>
      <c r="AU50" s="80"/>
      <c r="AV50" s="80"/>
      <c r="AW50" s="80"/>
      <c r="AX50" s="80"/>
      <c r="AY50" s="80"/>
      <c r="AZ50" s="80"/>
      <c r="BA50" s="80"/>
    </row>
    <row r="51" spans="1:53" s="75" customFormat="1" x14ac:dyDescent="0.25">
      <c r="A51" s="110"/>
      <c r="B51" s="111"/>
      <c r="C51" s="112"/>
      <c r="D51" s="111"/>
      <c r="E51" s="54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Arm9'!D51,Staff_Costs[[#All],[Role]],0),MATCH("Per-minute cost",Staff_Costs[#Headers],0))*'Per-Participant Activities Arm9'!C51)</f>
        <v>#N/A</v>
      </c>
      <c r="AJ51" s="117" t="e">
        <f t="shared" si="6"/>
        <v>#N/A</v>
      </c>
      <c r="AK51" s="117" t="e">
        <f t="shared" si="6"/>
        <v>#N/A</v>
      </c>
      <c r="AL51" s="117" t="e">
        <f t="shared" si="6"/>
        <v>#N/A</v>
      </c>
      <c r="AM51" s="117" t="e">
        <f t="shared" si="6"/>
        <v>#N/A</v>
      </c>
      <c r="AN51" s="117" t="e">
        <f t="shared" si="6"/>
        <v>#N/A</v>
      </c>
      <c r="AO51" s="107" t="e">
        <f t="shared" si="5"/>
        <v>#N/A</v>
      </c>
      <c r="AP51" s="80"/>
      <c r="AQ51" s="80"/>
      <c r="AR51" s="80"/>
      <c r="AS51" s="80"/>
      <c r="AT51" s="80"/>
      <c r="AU51" s="80"/>
      <c r="AV51" s="80"/>
      <c r="AW51" s="80"/>
      <c r="AX51" s="80"/>
      <c r="AY51" s="80"/>
      <c r="AZ51" s="80"/>
      <c r="BA51" s="80"/>
    </row>
    <row r="52" spans="1:53" s="75" customFormat="1" x14ac:dyDescent="0.25">
      <c r="A52" s="110"/>
      <c r="B52" s="111"/>
      <c r="C52" s="112"/>
      <c r="D52" s="111"/>
      <c r="E52" s="54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Arm9'!D52,Staff_Costs[[#All],[Role]],0),MATCH("Per-minute cost",Staff_Costs[#Headers],0))*'Per-Participant Activities Arm9'!C52)</f>
        <v>#N/A</v>
      </c>
      <c r="AJ52" s="117" t="e">
        <f t="shared" si="6"/>
        <v>#N/A</v>
      </c>
      <c r="AK52" s="117" t="e">
        <f t="shared" si="6"/>
        <v>#N/A</v>
      </c>
      <c r="AL52" s="117" t="e">
        <f t="shared" si="6"/>
        <v>#N/A</v>
      </c>
      <c r="AM52" s="117" t="e">
        <f t="shared" si="6"/>
        <v>#N/A</v>
      </c>
      <c r="AN52" s="117" t="e">
        <f t="shared" si="6"/>
        <v>#N/A</v>
      </c>
      <c r="AO52" s="107" t="e">
        <f t="shared" si="5"/>
        <v>#N/A</v>
      </c>
      <c r="AP52" s="80"/>
      <c r="AQ52" s="80"/>
      <c r="AR52" s="80"/>
      <c r="AS52" s="80"/>
      <c r="AT52" s="80"/>
      <c r="AU52" s="80"/>
      <c r="AV52" s="80"/>
      <c r="AW52" s="80"/>
      <c r="AX52" s="80"/>
      <c r="AY52" s="80"/>
      <c r="AZ52" s="80"/>
      <c r="BA52" s="80"/>
    </row>
    <row r="53" spans="1:53" s="75" customFormat="1" x14ac:dyDescent="0.25">
      <c r="A53" s="110"/>
      <c r="B53" s="111"/>
      <c r="C53" s="112"/>
      <c r="D53" s="111"/>
      <c r="E53" s="54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Arm9'!D53,Staff_Costs[[#All],[Role]],0),MATCH("Per-minute cost",Staff_Costs[#Headers],0))*'Per-Participant Activities Arm9'!C53)</f>
        <v>#N/A</v>
      </c>
      <c r="AJ53" s="117" t="e">
        <f t="shared" si="6"/>
        <v>#N/A</v>
      </c>
      <c r="AK53" s="117" t="e">
        <f t="shared" si="6"/>
        <v>#N/A</v>
      </c>
      <c r="AL53" s="117" t="e">
        <f t="shared" si="6"/>
        <v>#N/A</v>
      </c>
      <c r="AM53" s="117" t="e">
        <f t="shared" si="6"/>
        <v>#N/A</v>
      </c>
      <c r="AN53" s="117" t="e">
        <f t="shared" si="6"/>
        <v>#N/A</v>
      </c>
      <c r="AO53" s="107" t="e">
        <f t="shared" si="5"/>
        <v>#N/A</v>
      </c>
      <c r="AP53" s="80"/>
      <c r="AQ53" s="80"/>
      <c r="AR53" s="80"/>
      <c r="AS53" s="80"/>
      <c r="AT53" s="80"/>
      <c r="AU53" s="80"/>
      <c r="AV53" s="80"/>
      <c r="AW53" s="80"/>
      <c r="AX53" s="80"/>
      <c r="AY53" s="80"/>
      <c r="AZ53" s="80"/>
      <c r="BA53" s="80"/>
    </row>
    <row r="54" spans="1:53" s="75" customFormat="1" x14ac:dyDescent="0.25">
      <c r="A54" s="110"/>
      <c r="B54" s="111"/>
      <c r="C54" s="112"/>
      <c r="D54" s="111"/>
      <c r="E54" s="54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Arm9'!D54,Staff_Costs[[#All],[Role]],0),MATCH("Per-minute cost",Staff_Costs[#Headers],0))*'Per-Participant Activities Arm9'!C54)</f>
        <v>#N/A</v>
      </c>
      <c r="AJ54" s="117" t="e">
        <f t="shared" si="6"/>
        <v>#N/A</v>
      </c>
      <c r="AK54" s="117" t="e">
        <f t="shared" si="6"/>
        <v>#N/A</v>
      </c>
      <c r="AL54" s="117" t="e">
        <f t="shared" si="6"/>
        <v>#N/A</v>
      </c>
      <c r="AM54" s="117" t="e">
        <f t="shared" si="6"/>
        <v>#N/A</v>
      </c>
      <c r="AN54" s="117" t="e">
        <f t="shared" si="6"/>
        <v>#N/A</v>
      </c>
      <c r="AO54" s="107" t="e">
        <f t="shared" si="5"/>
        <v>#N/A</v>
      </c>
      <c r="AP54" s="80"/>
      <c r="AQ54" s="80"/>
      <c r="AR54" s="80"/>
      <c r="AS54" s="80"/>
      <c r="AT54" s="80"/>
      <c r="AU54" s="80"/>
      <c r="AV54" s="80"/>
      <c r="AW54" s="80"/>
      <c r="AX54" s="80"/>
      <c r="AY54" s="80"/>
      <c r="AZ54" s="80"/>
      <c r="BA54" s="80"/>
    </row>
    <row r="55" spans="1:53" s="75" customFormat="1" x14ac:dyDescent="0.25">
      <c r="A55" s="110"/>
      <c r="B55" s="111"/>
      <c r="C55" s="112"/>
      <c r="D55" s="111"/>
      <c r="E55" s="54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Arm9'!D55,Staff_Costs[[#All],[Role]],0),MATCH("Per-minute cost",Staff_Costs[#Headers],0))*'Per-Participant Activities Arm9'!C55)</f>
        <v>#N/A</v>
      </c>
      <c r="AJ55" s="117" t="e">
        <f t="shared" si="6"/>
        <v>#N/A</v>
      </c>
      <c r="AK55" s="117" t="e">
        <f t="shared" si="6"/>
        <v>#N/A</v>
      </c>
      <c r="AL55" s="117" t="e">
        <f t="shared" si="6"/>
        <v>#N/A</v>
      </c>
      <c r="AM55" s="117" t="e">
        <f t="shared" si="6"/>
        <v>#N/A</v>
      </c>
      <c r="AN55" s="117" t="e">
        <f t="shared" si="6"/>
        <v>#N/A</v>
      </c>
      <c r="AO55" s="107" t="e">
        <f t="shared" si="5"/>
        <v>#N/A</v>
      </c>
      <c r="AP55" s="80"/>
      <c r="AQ55" s="80"/>
      <c r="AR55" s="80"/>
      <c r="AS55" s="80"/>
      <c r="AT55" s="80"/>
      <c r="AU55" s="80"/>
      <c r="AV55" s="80"/>
      <c r="AW55" s="80"/>
      <c r="AX55" s="80"/>
      <c r="AY55" s="80"/>
      <c r="AZ55" s="80"/>
      <c r="BA55" s="80"/>
    </row>
    <row r="56" spans="1:53" s="75" customFormat="1" x14ac:dyDescent="0.25">
      <c r="A56" s="110"/>
      <c r="B56" s="111"/>
      <c r="C56" s="112"/>
      <c r="D56" s="111"/>
      <c r="E56" s="54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Arm9'!D56,Staff_Costs[[#All],[Role]],0),MATCH("Per-minute cost",Staff_Costs[#Headers],0))*'Per-Participant Activities Arm9'!C56)</f>
        <v>#N/A</v>
      </c>
      <c r="AJ56" s="117" t="e">
        <f t="shared" si="6"/>
        <v>#N/A</v>
      </c>
      <c r="AK56" s="117" t="e">
        <f t="shared" si="6"/>
        <v>#N/A</v>
      </c>
      <c r="AL56" s="117" t="e">
        <f t="shared" si="6"/>
        <v>#N/A</v>
      </c>
      <c r="AM56" s="117" t="e">
        <f t="shared" si="6"/>
        <v>#N/A</v>
      </c>
      <c r="AN56" s="117" t="e">
        <f t="shared" si="6"/>
        <v>#N/A</v>
      </c>
      <c r="AO56" s="107" t="e">
        <f t="shared" si="5"/>
        <v>#N/A</v>
      </c>
      <c r="AP56" s="80"/>
      <c r="AQ56" s="80"/>
      <c r="AR56" s="80"/>
      <c r="AS56" s="80"/>
      <c r="AT56" s="80"/>
      <c r="AU56" s="80"/>
      <c r="AV56" s="80"/>
      <c r="AW56" s="80"/>
      <c r="AX56" s="80"/>
      <c r="AY56" s="80"/>
      <c r="AZ56" s="80"/>
      <c r="BA56" s="80"/>
    </row>
    <row r="57" spans="1:53" s="75" customFormat="1" x14ac:dyDescent="0.25">
      <c r="A57" s="110"/>
      <c r="B57" s="111"/>
      <c r="C57" s="112"/>
      <c r="D57" s="111"/>
      <c r="E57" s="54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Arm9'!D57,Staff_Costs[[#All],[Role]],0),MATCH("Per-minute cost",Staff_Costs[#Headers],0))*'Per-Participant Activities Arm9'!C57)</f>
        <v>#N/A</v>
      </c>
      <c r="AJ57" s="117" t="e">
        <f t="shared" si="6"/>
        <v>#N/A</v>
      </c>
      <c r="AK57" s="117" t="e">
        <f t="shared" si="6"/>
        <v>#N/A</v>
      </c>
      <c r="AL57" s="117" t="e">
        <f t="shared" si="6"/>
        <v>#N/A</v>
      </c>
      <c r="AM57" s="117" t="e">
        <f t="shared" si="6"/>
        <v>#N/A</v>
      </c>
      <c r="AN57" s="117" t="e">
        <f t="shared" si="6"/>
        <v>#N/A</v>
      </c>
      <c r="AO57" s="107" t="e">
        <f t="shared" si="5"/>
        <v>#N/A</v>
      </c>
      <c r="AP57" s="80"/>
      <c r="AQ57" s="80"/>
      <c r="AR57" s="80"/>
      <c r="AS57" s="80"/>
      <c r="AT57" s="80"/>
      <c r="AU57" s="80"/>
      <c r="AV57" s="80"/>
      <c r="AW57" s="80"/>
      <c r="AX57" s="80"/>
      <c r="AY57" s="80"/>
      <c r="AZ57" s="80"/>
      <c r="BA57" s="80"/>
    </row>
    <row r="58" spans="1:53" s="75" customFormat="1" x14ac:dyDescent="0.25">
      <c r="A58" s="110"/>
      <c r="B58" s="111"/>
      <c r="C58" s="112"/>
      <c r="D58" s="111"/>
      <c r="E58" s="54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Arm9'!D58,Staff_Costs[[#All],[Role]],0),MATCH("Per-minute cost",Staff_Costs[#Headers],0))*'Per-Participant Activities Arm9'!C58)</f>
        <v>#N/A</v>
      </c>
      <c r="AJ58" s="117" t="e">
        <f t="shared" si="6"/>
        <v>#N/A</v>
      </c>
      <c r="AK58" s="117" t="e">
        <f t="shared" si="6"/>
        <v>#N/A</v>
      </c>
      <c r="AL58" s="117" t="e">
        <f t="shared" si="6"/>
        <v>#N/A</v>
      </c>
      <c r="AM58" s="117" t="e">
        <f t="shared" si="6"/>
        <v>#N/A</v>
      </c>
      <c r="AN58" s="117" t="e">
        <f t="shared" si="6"/>
        <v>#N/A</v>
      </c>
      <c r="AO58" s="107" t="e">
        <f t="shared" si="5"/>
        <v>#N/A</v>
      </c>
      <c r="AP58" s="80"/>
      <c r="AQ58" s="80"/>
      <c r="AR58" s="80"/>
      <c r="AS58" s="80"/>
      <c r="AT58" s="80"/>
      <c r="AU58" s="80"/>
      <c r="AV58" s="80"/>
      <c r="AW58" s="80"/>
      <c r="AX58" s="80"/>
      <c r="AY58" s="80"/>
      <c r="AZ58" s="80"/>
      <c r="BA58" s="80"/>
    </row>
    <row r="59" spans="1:53" s="75" customFormat="1" x14ac:dyDescent="0.25">
      <c r="A59" s="110"/>
      <c r="B59" s="111"/>
      <c r="C59" s="112"/>
      <c r="D59" s="111"/>
      <c r="E59" s="54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Arm9'!D59,Staff_Costs[[#All],[Role]],0),MATCH("Per-minute cost",Staff_Costs[#Headers],0))*'Per-Participant Activities Arm9'!C59)</f>
        <v>#N/A</v>
      </c>
      <c r="AJ59" s="117" t="e">
        <f t="shared" si="6"/>
        <v>#N/A</v>
      </c>
      <c r="AK59" s="117" t="e">
        <f t="shared" si="6"/>
        <v>#N/A</v>
      </c>
      <c r="AL59" s="117" t="e">
        <f t="shared" si="6"/>
        <v>#N/A</v>
      </c>
      <c r="AM59" s="117" t="e">
        <f t="shared" si="6"/>
        <v>#N/A</v>
      </c>
      <c r="AN59" s="117" t="e">
        <f t="shared" si="6"/>
        <v>#N/A</v>
      </c>
      <c r="AO59" s="107" t="e">
        <f t="shared" si="5"/>
        <v>#N/A</v>
      </c>
      <c r="AP59" s="80"/>
      <c r="AQ59" s="80"/>
      <c r="AR59" s="80"/>
      <c r="AS59" s="80"/>
      <c r="AT59" s="80"/>
      <c r="AU59" s="80"/>
      <c r="AV59" s="80"/>
      <c r="AW59" s="80"/>
      <c r="AX59" s="80"/>
      <c r="AY59" s="80"/>
      <c r="AZ59" s="80"/>
      <c r="BA59" s="80"/>
    </row>
    <row r="60" spans="1:53" s="75" customFormat="1" x14ac:dyDescent="0.25">
      <c r="A60" s="110"/>
      <c r="B60" s="111"/>
      <c r="C60" s="112"/>
      <c r="D60" s="111"/>
      <c r="E60" s="54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Arm9'!D60,Staff_Costs[[#All],[Role]],0),MATCH("Per-minute cost",Staff_Costs[#Headers],0))*'Per-Participant Activities Arm9'!C60)</f>
        <v>#N/A</v>
      </c>
      <c r="AJ60" s="117" t="e">
        <f t="shared" ref="AJ60:AN69" si="7">COUNTIF($F60:$AH60, AJ$8)*$AI60</f>
        <v>#N/A</v>
      </c>
      <c r="AK60" s="117" t="e">
        <f t="shared" si="7"/>
        <v>#N/A</v>
      </c>
      <c r="AL60" s="117" t="e">
        <f t="shared" si="7"/>
        <v>#N/A</v>
      </c>
      <c r="AM60" s="117" t="e">
        <f t="shared" si="7"/>
        <v>#N/A</v>
      </c>
      <c r="AN60" s="117" t="e">
        <f t="shared" si="7"/>
        <v>#N/A</v>
      </c>
      <c r="AO60" s="107" t="e">
        <f t="shared" si="5"/>
        <v>#N/A</v>
      </c>
      <c r="AP60" s="80"/>
      <c r="AQ60" s="80"/>
      <c r="AR60" s="80"/>
      <c r="AS60" s="80"/>
      <c r="AT60" s="80"/>
      <c r="AU60" s="80"/>
      <c r="AV60" s="80"/>
      <c r="AW60" s="80"/>
      <c r="AX60" s="80"/>
      <c r="AY60" s="80"/>
      <c r="AZ60" s="80"/>
      <c r="BA60" s="80"/>
    </row>
    <row r="61" spans="1:53" s="75" customFormat="1" x14ac:dyDescent="0.25">
      <c r="A61" s="110"/>
      <c r="B61" s="111"/>
      <c r="C61" s="112"/>
      <c r="D61" s="111"/>
      <c r="E61" s="54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Arm9'!D61,Staff_Costs[[#All],[Role]],0),MATCH("Per-minute cost",Staff_Costs[#Headers],0))*'Per-Participant Activities Arm9'!C61)</f>
        <v>#N/A</v>
      </c>
      <c r="AJ61" s="117" t="e">
        <f t="shared" si="7"/>
        <v>#N/A</v>
      </c>
      <c r="AK61" s="117" t="e">
        <f t="shared" si="7"/>
        <v>#N/A</v>
      </c>
      <c r="AL61" s="117" t="e">
        <f t="shared" si="7"/>
        <v>#N/A</v>
      </c>
      <c r="AM61" s="117" t="e">
        <f t="shared" si="7"/>
        <v>#N/A</v>
      </c>
      <c r="AN61" s="117" t="e">
        <f t="shared" si="7"/>
        <v>#N/A</v>
      </c>
      <c r="AO61" s="107" t="e">
        <f t="shared" si="5"/>
        <v>#N/A</v>
      </c>
      <c r="AP61" s="80"/>
      <c r="AQ61" s="80"/>
      <c r="AR61" s="80"/>
      <c r="AS61" s="80"/>
      <c r="AT61" s="80"/>
      <c r="AU61" s="80"/>
      <c r="AV61" s="80"/>
      <c r="AW61" s="80"/>
      <c r="AX61" s="80"/>
      <c r="AY61" s="80"/>
      <c r="AZ61" s="80"/>
      <c r="BA61" s="80"/>
    </row>
    <row r="62" spans="1:53" s="75" customFormat="1" x14ac:dyDescent="0.25">
      <c r="A62" s="110"/>
      <c r="B62" s="111"/>
      <c r="C62" s="112"/>
      <c r="D62" s="111"/>
      <c r="E62" s="54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Arm9'!D62,Staff_Costs[[#All],[Role]],0),MATCH("Per-minute cost",Staff_Costs[#Headers],0))*'Per-Participant Activities Arm9'!C62)</f>
        <v>#N/A</v>
      </c>
      <c r="AJ62" s="117" t="e">
        <f t="shared" si="7"/>
        <v>#N/A</v>
      </c>
      <c r="AK62" s="117" t="e">
        <f t="shared" si="7"/>
        <v>#N/A</v>
      </c>
      <c r="AL62" s="117" t="e">
        <f t="shared" si="7"/>
        <v>#N/A</v>
      </c>
      <c r="AM62" s="117" t="e">
        <f t="shared" si="7"/>
        <v>#N/A</v>
      </c>
      <c r="AN62" s="117" t="e">
        <f t="shared" si="7"/>
        <v>#N/A</v>
      </c>
      <c r="AO62" s="107" t="e">
        <f t="shared" si="5"/>
        <v>#N/A</v>
      </c>
      <c r="AP62" s="80"/>
      <c r="AQ62" s="80"/>
      <c r="AR62" s="80"/>
      <c r="AS62" s="80"/>
      <c r="AT62" s="80"/>
      <c r="AU62" s="80"/>
      <c r="AV62" s="80"/>
      <c r="AW62" s="80"/>
      <c r="AX62" s="80"/>
      <c r="AY62" s="80"/>
      <c r="AZ62" s="80"/>
      <c r="BA62" s="80"/>
    </row>
    <row r="63" spans="1:53" s="75" customFormat="1" x14ac:dyDescent="0.25">
      <c r="A63" s="110"/>
      <c r="B63" s="111"/>
      <c r="C63" s="112"/>
      <c r="D63" s="111"/>
      <c r="E63" s="54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Arm9'!D63,Staff_Costs[[#All],[Role]],0),MATCH("Per-minute cost",Staff_Costs[#Headers],0))*'Per-Participant Activities Arm9'!C63)</f>
        <v>#N/A</v>
      </c>
      <c r="AJ63" s="117" t="e">
        <f t="shared" si="7"/>
        <v>#N/A</v>
      </c>
      <c r="AK63" s="117" t="e">
        <f t="shared" si="7"/>
        <v>#N/A</v>
      </c>
      <c r="AL63" s="117" t="e">
        <f t="shared" si="7"/>
        <v>#N/A</v>
      </c>
      <c r="AM63" s="117" t="e">
        <f t="shared" si="7"/>
        <v>#N/A</v>
      </c>
      <c r="AN63" s="117" t="e">
        <f t="shared" si="7"/>
        <v>#N/A</v>
      </c>
      <c r="AO63" s="107" t="e">
        <f t="shared" si="5"/>
        <v>#N/A</v>
      </c>
      <c r="AP63" s="80"/>
      <c r="AQ63" s="80"/>
      <c r="AR63" s="80"/>
      <c r="AS63" s="80"/>
      <c r="AT63" s="80"/>
      <c r="AU63" s="80"/>
      <c r="AV63" s="80"/>
      <c r="AW63" s="80"/>
      <c r="AX63" s="80"/>
      <c r="AY63" s="80"/>
      <c r="AZ63" s="80"/>
      <c r="BA63" s="80"/>
    </row>
    <row r="64" spans="1:53" s="75" customFormat="1" x14ac:dyDescent="0.25">
      <c r="A64" s="120"/>
      <c r="B64" s="111"/>
      <c r="C64" s="112"/>
      <c r="D64" s="111"/>
      <c r="E64" s="545"/>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Arm9'!D64,Staff_Costs[[#All],[Role]],0),MATCH("Per-minute cost",Staff_Costs[#Headers],0))*'Per-Participant Activities Arm9'!C64)</f>
        <v>#N/A</v>
      </c>
      <c r="AJ64" s="117" t="e">
        <f t="shared" si="7"/>
        <v>#N/A</v>
      </c>
      <c r="AK64" s="117" t="e">
        <f t="shared" si="7"/>
        <v>#N/A</v>
      </c>
      <c r="AL64" s="117" t="e">
        <f t="shared" si="7"/>
        <v>#N/A</v>
      </c>
      <c r="AM64" s="117" t="e">
        <f t="shared" si="7"/>
        <v>#N/A</v>
      </c>
      <c r="AN64" s="117" t="e">
        <f t="shared" si="7"/>
        <v>#N/A</v>
      </c>
      <c r="AO64" s="107" t="e">
        <f t="shared" si="5"/>
        <v>#N/A</v>
      </c>
      <c r="AP64" s="80"/>
      <c r="AQ64" s="80"/>
      <c r="AR64" s="80"/>
      <c r="AS64" s="80"/>
      <c r="AT64" s="80"/>
      <c r="AU64" s="80"/>
      <c r="AV64" s="80"/>
      <c r="AW64" s="80"/>
      <c r="AX64" s="80"/>
      <c r="AY64" s="80"/>
      <c r="AZ64" s="80"/>
      <c r="BA64" s="80"/>
    </row>
    <row r="65" spans="1:53" x14ac:dyDescent="0.25">
      <c r="A65" s="120"/>
      <c r="B65" s="111"/>
      <c r="C65" s="112"/>
      <c r="D65" s="111"/>
      <c r="E65" s="545"/>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Arm9'!D65,Staff_Costs[[#All],[Role]],0),MATCH("Per-minute cost",Staff_Costs[#Headers],0))*'Per-Participant Activities Arm9'!C65)</f>
        <v>#N/A</v>
      </c>
      <c r="AJ65" s="117" t="e">
        <f t="shared" si="7"/>
        <v>#N/A</v>
      </c>
      <c r="AK65" s="117" t="e">
        <f t="shared" si="7"/>
        <v>#N/A</v>
      </c>
      <c r="AL65" s="117" t="e">
        <f t="shared" si="7"/>
        <v>#N/A</v>
      </c>
      <c r="AM65" s="117" t="e">
        <f t="shared" si="7"/>
        <v>#N/A</v>
      </c>
      <c r="AN65" s="117" t="e">
        <f t="shared" si="7"/>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1"/>
      <c r="E66" s="545"/>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Arm9'!D66,Staff_Costs[[#All],[Role]],0),MATCH("Per-minute cost",Staff_Costs[#Headers],0))*'Per-Participant Activities Arm9'!C66)</f>
        <v>#N/A</v>
      </c>
      <c r="AJ66" s="117" t="e">
        <f t="shared" si="7"/>
        <v>#N/A</v>
      </c>
      <c r="AK66" s="117" t="e">
        <f t="shared" si="7"/>
        <v>#N/A</v>
      </c>
      <c r="AL66" s="117" t="e">
        <f t="shared" si="7"/>
        <v>#N/A</v>
      </c>
      <c r="AM66" s="117" t="e">
        <f t="shared" si="7"/>
        <v>#N/A</v>
      </c>
      <c r="AN66" s="117" t="e">
        <f t="shared" si="7"/>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1"/>
      <c r="E67" s="545"/>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Arm9'!D67,Staff_Costs[[#All],[Role]],0),MATCH("Per-minute cost",Staff_Costs[#Headers],0))*'Per-Participant Activities Arm9'!C67)</f>
        <v>#N/A</v>
      </c>
      <c r="AJ67" s="117" t="e">
        <f t="shared" si="7"/>
        <v>#N/A</v>
      </c>
      <c r="AK67" s="117" t="e">
        <f t="shared" si="7"/>
        <v>#N/A</v>
      </c>
      <c r="AL67" s="117" t="e">
        <f t="shared" si="7"/>
        <v>#N/A</v>
      </c>
      <c r="AM67" s="117" t="e">
        <f t="shared" si="7"/>
        <v>#N/A</v>
      </c>
      <c r="AN67" s="117" t="e">
        <f t="shared" si="7"/>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1"/>
      <c r="E68" s="545"/>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Arm9'!D68,Staff_Costs[[#All],[Role]],0),MATCH("Per-minute cost",Staff_Costs[#Headers],0))*'Per-Participant Activities Arm9'!C68)</f>
        <v>#N/A</v>
      </c>
      <c r="AJ68" s="117" t="e">
        <f t="shared" si="7"/>
        <v>#N/A</v>
      </c>
      <c r="AK68" s="117" t="e">
        <f t="shared" si="7"/>
        <v>#N/A</v>
      </c>
      <c r="AL68" s="117" t="e">
        <f t="shared" si="7"/>
        <v>#N/A</v>
      </c>
      <c r="AM68" s="117" t="e">
        <f t="shared" si="7"/>
        <v>#N/A</v>
      </c>
      <c r="AN68" s="117" t="e">
        <f t="shared" si="7"/>
        <v>#N/A</v>
      </c>
      <c r="AO68" s="479" t="e">
        <f>INDEX('Tariff (hidden)'!$B$4:$B$133,MATCH(B68,'Tariff (hidden)'!$A$4:$A$133,0))</f>
        <v>#N/A</v>
      </c>
    </row>
    <row r="69" spans="1:53" x14ac:dyDescent="0.25">
      <c r="A69" s="120"/>
      <c r="B69" s="111"/>
      <c r="C69" s="112"/>
      <c r="D69" s="111"/>
      <c r="E69" s="545"/>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Arm9'!D69,Staff_Costs[[#All],[Role]],0),MATCH("Per-minute cost",Staff_Costs[#Headers],0))*'Per-Participant Activities Arm9'!C69)</f>
        <v>#N/A</v>
      </c>
      <c r="AJ69" s="117" t="e">
        <f t="shared" si="7"/>
        <v>#N/A</v>
      </c>
      <c r="AK69" s="117" t="e">
        <f t="shared" si="7"/>
        <v>#N/A</v>
      </c>
      <c r="AL69" s="117" t="e">
        <f t="shared" si="7"/>
        <v>#N/A</v>
      </c>
      <c r="AM69" s="117" t="e">
        <f t="shared" si="7"/>
        <v>#N/A</v>
      </c>
      <c r="AN69" s="117" t="e">
        <f t="shared" si="7"/>
        <v>#N/A</v>
      </c>
      <c r="AO69" s="479" t="e">
        <f>INDEX('Tariff (hidden)'!$B$4:$B$133,MATCH(B69,'Tariff (hidden)'!$A$4:$A$133,0))</f>
        <v>#N/A</v>
      </c>
    </row>
    <row r="70" spans="1:53" x14ac:dyDescent="0.25">
      <c r="A70" s="120"/>
      <c r="B70" s="111"/>
      <c r="C70" s="112"/>
      <c r="D70" s="111"/>
      <c r="E70" s="545"/>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Arm9'!D70,Staff_Costs[[#All],[Role]],0),MATCH("Per-minute cost",Staff_Costs[#Headers],0))*'Per-Participant Activities Arm9'!C70)</f>
        <v>#N/A</v>
      </c>
      <c r="AJ70" s="117" t="e">
        <f t="shared" ref="AJ70:AN79" si="8">COUNTIF($F70:$AH70, AJ$8)*$AI70</f>
        <v>#N/A</v>
      </c>
      <c r="AK70" s="117" t="e">
        <f t="shared" si="8"/>
        <v>#N/A</v>
      </c>
      <c r="AL70" s="117" t="e">
        <f t="shared" si="8"/>
        <v>#N/A</v>
      </c>
      <c r="AM70" s="117" t="e">
        <f t="shared" si="8"/>
        <v>#N/A</v>
      </c>
      <c r="AN70" s="117" t="e">
        <f t="shared" si="8"/>
        <v>#N/A</v>
      </c>
      <c r="AO70" s="479" t="e">
        <f>INDEX('Tariff (hidden)'!$B$4:$B$133,MATCH(B70,'Tariff (hidden)'!$A$4:$A$133,0))</f>
        <v>#N/A</v>
      </c>
    </row>
    <row r="71" spans="1:53" x14ac:dyDescent="0.25">
      <c r="A71" s="120"/>
      <c r="B71" s="111"/>
      <c r="C71" s="112"/>
      <c r="D71" s="111"/>
      <c r="E71" s="545"/>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Arm9'!D71,Staff_Costs[[#All],[Role]],0),MATCH("Per-minute cost",Staff_Costs[#Headers],0))*'Per-Participant Activities Arm9'!C71)</f>
        <v>#N/A</v>
      </c>
      <c r="AJ71" s="117" t="e">
        <f t="shared" si="8"/>
        <v>#N/A</v>
      </c>
      <c r="AK71" s="117" t="e">
        <f t="shared" si="8"/>
        <v>#N/A</v>
      </c>
      <c r="AL71" s="117" t="e">
        <f t="shared" si="8"/>
        <v>#N/A</v>
      </c>
      <c r="AM71" s="117" t="e">
        <f t="shared" si="8"/>
        <v>#N/A</v>
      </c>
      <c r="AN71" s="117" t="e">
        <f t="shared" si="8"/>
        <v>#N/A</v>
      </c>
      <c r="AO71" s="479" t="e">
        <f>INDEX('Tariff (hidden)'!$B$4:$B$133,MATCH(B71,'Tariff (hidden)'!$A$4:$A$133,0))</f>
        <v>#N/A</v>
      </c>
    </row>
    <row r="72" spans="1:53" x14ac:dyDescent="0.25">
      <c r="A72" s="120"/>
      <c r="B72" s="111"/>
      <c r="C72" s="112"/>
      <c r="D72" s="111"/>
      <c r="E72" s="545"/>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Arm9'!D72,Staff_Costs[[#All],[Role]],0),MATCH("Per-minute cost",Staff_Costs[#Headers],0))*'Per-Participant Activities Arm9'!C72)</f>
        <v>#N/A</v>
      </c>
      <c r="AJ72" s="117" t="e">
        <f t="shared" si="8"/>
        <v>#N/A</v>
      </c>
      <c r="AK72" s="117" t="e">
        <f t="shared" si="8"/>
        <v>#N/A</v>
      </c>
      <c r="AL72" s="117" t="e">
        <f t="shared" si="8"/>
        <v>#N/A</v>
      </c>
      <c r="AM72" s="117" t="e">
        <f t="shared" si="8"/>
        <v>#N/A</v>
      </c>
      <c r="AN72" s="117" t="e">
        <f t="shared" si="8"/>
        <v>#N/A</v>
      </c>
      <c r="AO72" s="479" t="e">
        <f>INDEX('Tariff (hidden)'!$B$4:$B$133,MATCH(B72,'Tariff (hidden)'!$A$4:$A$133,0))</f>
        <v>#N/A</v>
      </c>
    </row>
    <row r="73" spans="1:53" x14ac:dyDescent="0.25">
      <c r="A73" s="120"/>
      <c r="B73" s="111"/>
      <c r="C73" s="112"/>
      <c r="D73" s="111"/>
      <c r="E73" s="545"/>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Arm9'!D73,Staff_Costs[[#All],[Role]],0),MATCH("Per-minute cost",Staff_Costs[#Headers],0))*'Per-Participant Activities Arm9'!C73)</f>
        <v>#N/A</v>
      </c>
      <c r="AJ73" s="117" t="e">
        <f t="shared" si="8"/>
        <v>#N/A</v>
      </c>
      <c r="AK73" s="117" t="e">
        <f t="shared" si="8"/>
        <v>#N/A</v>
      </c>
      <c r="AL73" s="117" t="e">
        <f t="shared" si="8"/>
        <v>#N/A</v>
      </c>
      <c r="AM73" s="117" t="e">
        <f t="shared" si="8"/>
        <v>#N/A</v>
      </c>
      <c r="AN73" s="117" t="e">
        <f t="shared" si="8"/>
        <v>#N/A</v>
      </c>
      <c r="AO73" s="479" t="e">
        <f>INDEX('Tariff (hidden)'!$B$4:$B$133,MATCH(B73,'Tariff (hidden)'!$A$4:$A$133,0))</f>
        <v>#N/A</v>
      </c>
    </row>
    <row r="74" spans="1:53" x14ac:dyDescent="0.25">
      <c r="A74" s="120"/>
      <c r="B74" s="111"/>
      <c r="C74" s="112"/>
      <c r="D74" s="111"/>
      <c r="E74" s="545"/>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Arm9'!D74,Staff_Costs[[#All],[Role]],0),MATCH("Per-minute cost",Staff_Costs[#Headers],0))*'Per-Participant Activities Arm9'!C74)</f>
        <v>#N/A</v>
      </c>
      <c r="AJ74" s="117" t="e">
        <f t="shared" si="8"/>
        <v>#N/A</v>
      </c>
      <c r="AK74" s="117" t="e">
        <f t="shared" si="8"/>
        <v>#N/A</v>
      </c>
      <c r="AL74" s="117" t="e">
        <f t="shared" si="8"/>
        <v>#N/A</v>
      </c>
      <c r="AM74" s="117" t="e">
        <f t="shared" si="8"/>
        <v>#N/A</v>
      </c>
      <c r="AN74" s="117" t="e">
        <f t="shared" si="8"/>
        <v>#N/A</v>
      </c>
      <c r="AO74" s="479" t="e">
        <f>INDEX('Tariff (hidden)'!$B$4:$B$133,MATCH(B74,'Tariff (hidden)'!$A$4:$A$133,0))</f>
        <v>#N/A</v>
      </c>
    </row>
    <row r="75" spans="1:53" x14ac:dyDescent="0.25">
      <c r="A75" s="120"/>
      <c r="B75" s="111"/>
      <c r="C75" s="112"/>
      <c r="D75" s="111"/>
      <c r="E75" s="545"/>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Arm9'!D75,Staff_Costs[[#All],[Role]],0),MATCH("Per-minute cost",Staff_Costs[#Headers],0))*'Per-Participant Activities Arm9'!C75)</f>
        <v>#N/A</v>
      </c>
      <c r="AJ75" s="117" t="e">
        <f t="shared" si="8"/>
        <v>#N/A</v>
      </c>
      <c r="AK75" s="117" t="e">
        <f t="shared" si="8"/>
        <v>#N/A</v>
      </c>
      <c r="AL75" s="117" t="e">
        <f t="shared" si="8"/>
        <v>#N/A</v>
      </c>
      <c r="AM75" s="117" t="e">
        <f t="shared" si="8"/>
        <v>#N/A</v>
      </c>
      <c r="AN75" s="117" t="e">
        <f t="shared" si="8"/>
        <v>#N/A</v>
      </c>
      <c r="AO75" s="479" t="e">
        <f>INDEX('Tariff (hidden)'!$B$4:$B$133,MATCH(B75,'Tariff (hidden)'!$A$4:$A$133,0))</f>
        <v>#N/A</v>
      </c>
    </row>
    <row r="76" spans="1:53" x14ac:dyDescent="0.25">
      <c r="A76" s="120"/>
      <c r="B76" s="111"/>
      <c r="C76" s="112"/>
      <c r="D76" s="111"/>
      <c r="E76" s="545"/>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Arm9'!D76,Staff_Costs[[#All],[Role]],0),MATCH("Per-minute cost",Staff_Costs[#Headers],0))*'Per-Participant Activities Arm9'!C76)</f>
        <v>#N/A</v>
      </c>
      <c r="AJ76" s="117" t="e">
        <f t="shared" si="8"/>
        <v>#N/A</v>
      </c>
      <c r="AK76" s="117" t="e">
        <f t="shared" si="8"/>
        <v>#N/A</v>
      </c>
      <c r="AL76" s="117" t="e">
        <f t="shared" si="8"/>
        <v>#N/A</v>
      </c>
      <c r="AM76" s="117" t="e">
        <f t="shared" si="8"/>
        <v>#N/A</v>
      </c>
      <c r="AN76" s="117" t="e">
        <f t="shared" si="8"/>
        <v>#N/A</v>
      </c>
      <c r="AO76" s="479" t="e">
        <f>INDEX('Tariff (hidden)'!$B$4:$B$133,MATCH(B76,'Tariff (hidden)'!$A$4:$A$133,0))</f>
        <v>#N/A</v>
      </c>
    </row>
    <row r="77" spans="1:53" x14ac:dyDescent="0.25">
      <c r="A77" s="120"/>
      <c r="B77" s="111"/>
      <c r="C77" s="112"/>
      <c r="D77" s="111"/>
      <c r="E77" s="545"/>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Arm9'!D77,Staff_Costs[[#All],[Role]],0),MATCH("Per-minute cost",Staff_Costs[#Headers],0))*'Per-Participant Activities Arm9'!C77)</f>
        <v>#N/A</v>
      </c>
      <c r="AJ77" s="117" t="e">
        <f t="shared" si="8"/>
        <v>#N/A</v>
      </c>
      <c r="AK77" s="117" t="e">
        <f t="shared" si="8"/>
        <v>#N/A</v>
      </c>
      <c r="AL77" s="117" t="e">
        <f t="shared" si="8"/>
        <v>#N/A</v>
      </c>
      <c r="AM77" s="117" t="e">
        <f t="shared" si="8"/>
        <v>#N/A</v>
      </c>
      <c r="AN77" s="117" t="e">
        <f t="shared" si="8"/>
        <v>#N/A</v>
      </c>
      <c r="AO77" s="479" t="e">
        <f>INDEX('Tariff (hidden)'!$B$4:$B$133,MATCH(B77,'Tariff (hidden)'!$A$4:$A$133,0))</f>
        <v>#N/A</v>
      </c>
    </row>
    <row r="78" spans="1:53" x14ac:dyDescent="0.25">
      <c r="A78" s="120"/>
      <c r="B78" s="111"/>
      <c r="C78" s="112"/>
      <c r="D78" s="111"/>
      <c r="E78" s="545"/>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Arm9'!D78,Staff_Costs[[#All],[Role]],0),MATCH("Per-minute cost",Staff_Costs[#Headers],0))*'Per-Participant Activities Arm9'!C78)</f>
        <v>#N/A</v>
      </c>
      <c r="AJ78" s="117" t="e">
        <f t="shared" si="8"/>
        <v>#N/A</v>
      </c>
      <c r="AK78" s="117" t="e">
        <f t="shared" si="8"/>
        <v>#N/A</v>
      </c>
      <c r="AL78" s="117" t="e">
        <f t="shared" si="8"/>
        <v>#N/A</v>
      </c>
      <c r="AM78" s="117" t="e">
        <f t="shared" si="8"/>
        <v>#N/A</v>
      </c>
      <c r="AN78" s="117" t="e">
        <f t="shared" si="8"/>
        <v>#N/A</v>
      </c>
      <c r="AO78" s="479" t="e">
        <f>INDEX('Tariff (hidden)'!$B$4:$B$133,MATCH(B78,'Tariff (hidden)'!$A$4:$A$133,0))</f>
        <v>#N/A</v>
      </c>
    </row>
    <row r="79" spans="1:53" x14ac:dyDescent="0.25">
      <c r="A79" s="120"/>
      <c r="B79" s="111"/>
      <c r="C79" s="112"/>
      <c r="D79" s="111"/>
      <c r="E79" s="545"/>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Arm9'!D79,Staff_Costs[[#All],[Role]],0),MATCH("Per-minute cost",Staff_Costs[#Headers],0))*'Per-Participant Activities Arm9'!C79)</f>
        <v>#N/A</v>
      </c>
      <c r="AJ79" s="117" t="e">
        <f t="shared" si="8"/>
        <v>#N/A</v>
      </c>
      <c r="AK79" s="117" t="e">
        <f t="shared" si="8"/>
        <v>#N/A</v>
      </c>
      <c r="AL79" s="117" t="e">
        <f t="shared" si="8"/>
        <v>#N/A</v>
      </c>
      <c r="AM79" s="117" t="e">
        <f t="shared" si="8"/>
        <v>#N/A</v>
      </c>
      <c r="AN79" s="117" t="e">
        <f t="shared" si="8"/>
        <v>#N/A</v>
      </c>
      <c r="AO79" s="479" t="e">
        <f>INDEX('Tariff (hidden)'!$B$4:$B$133,MATCH(B79,'Tariff (hidden)'!$A$4:$A$133,0))</f>
        <v>#N/A</v>
      </c>
    </row>
    <row r="80" spans="1:53" x14ac:dyDescent="0.25">
      <c r="A80" s="120"/>
      <c r="B80" s="111"/>
      <c r="C80" s="112"/>
      <c r="D80" s="111"/>
      <c r="E80" s="545"/>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Arm9'!D80,Staff_Costs[[#All],[Role]],0),MATCH("Per-minute cost",Staff_Costs[#Headers],0))*'Per-Participant Activities Arm9'!C80)</f>
        <v>#N/A</v>
      </c>
      <c r="AJ80" s="117" t="e">
        <f t="shared" ref="AJ80:AN89" si="9">COUNTIF($F80:$AH80, AJ$8)*$AI80</f>
        <v>#N/A</v>
      </c>
      <c r="AK80" s="117" t="e">
        <f t="shared" si="9"/>
        <v>#N/A</v>
      </c>
      <c r="AL80" s="117" t="e">
        <f t="shared" si="9"/>
        <v>#N/A</v>
      </c>
      <c r="AM80" s="117" t="e">
        <f t="shared" si="9"/>
        <v>#N/A</v>
      </c>
      <c r="AN80" s="117" t="e">
        <f t="shared" si="9"/>
        <v>#N/A</v>
      </c>
      <c r="AO80" s="479" t="e">
        <f>INDEX('Tariff (hidden)'!$B$4:$B$133,MATCH(B80,'Tariff (hidden)'!$A$4:$A$133,0))</f>
        <v>#N/A</v>
      </c>
    </row>
    <row r="81" spans="1:41" x14ac:dyDescent="0.25">
      <c r="A81" s="120"/>
      <c r="B81" s="111"/>
      <c r="C81" s="112"/>
      <c r="D81" s="111"/>
      <c r="E81" s="545"/>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Arm9'!D81,Staff_Costs[[#All],[Role]],0),MATCH("Per-minute cost",Staff_Costs[#Headers],0))*'Per-Participant Activities Arm9'!C81)</f>
        <v>#N/A</v>
      </c>
      <c r="AJ81" s="117" t="e">
        <f t="shared" si="9"/>
        <v>#N/A</v>
      </c>
      <c r="AK81" s="117" t="e">
        <f t="shared" si="9"/>
        <v>#N/A</v>
      </c>
      <c r="AL81" s="117" t="e">
        <f t="shared" si="9"/>
        <v>#N/A</v>
      </c>
      <c r="AM81" s="117" t="e">
        <f t="shared" si="9"/>
        <v>#N/A</v>
      </c>
      <c r="AN81" s="117" t="e">
        <f t="shared" si="9"/>
        <v>#N/A</v>
      </c>
      <c r="AO81" s="479" t="e">
        <f>INDEX('Tariff (hidden)'!$B$4:$B$133,MATCH(B81,'Tariff (hidden)'!$A$4:$A$133,0))</f>
        <v>#N/A</v>
      </c>
    </row>
    <row r="82" spans="1:41" x14ac:dyDescent="0.25">
      <c r="A82" s="120"/>
      <c r="B82" s="111"/>
      <c r="C82" s="112"/>
      <c r="D82" s="111"/>
      <c r="E82" s="545"/>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Arm9'!D82,Staff_Costs[[#All],[Role]],0),MATCH("Per-minute cost",Staff_Costs[#Headers],0))*'Per-Participant Activities Arm9'!C82)</f>
        <v>#N/A</v>
      </c>
      <c r="AJ82" s="117" t="e">
        <f t="shared" si="9"/>
        <v>#N/A</v>
      </c>
      <c r="AK82" s="117" t="e">
        <f t="shared" si="9"/>
        <v>#N/A</v>
      </c>
      <c r="AL82" s="117" t="e">
        <f t="shared" si="9"/>
        <v>#N/A</v>
      </c>
      <c r="AM82" s="117" t="e">
        <f t="shared" si="9"/>
        <v>#N/A</v>
      </c>
      <c r="AN82" s="117" t="e">
        <f t="shared" si="9"/>
        <v>#N/A</v>
      </c>
      <c r="AO82" s="479" t="e">
        <f>INDEX('Tariff (hidden)'!$B$4:$B$133,MATCH(B82,'Tariff (hidden)'!$A$4:$A$133,0))</f>
        <v>#N/A</v>
      </c>
    </row>
    <row r="83" spans="1:41" x14ac:dyDescent="0.25">
      <c r="A83" s="120"/>
      <c r="B83" s="111"/>
      <c r="C83" s="112"/>
      <c r="D83" s="111"/>
      <c r="E83" s="545"/>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Arm9'!D83,Staff_Costs[[#All],[Role]],0),MATCH("Per-minute cost",Staff_Costs[#Headers],0))*'Per-Participant Activities Arm9'!C83)</f>
        <v>#N/A</v>
      </c>
      <c r="AJ83" s="117" t="e">
        <f t="shared" si="9"/>
        <v>#N/A</v>
      </c>
      <c r="AK83" s="117" t="e">
        <f t="shared" si="9"/>
        <v>#N/A</v>
      </c>
      <c r="AL83" s="117" t="e">
        <f t="shared" si="9"/>
        <v>#N/A</v>
      </c>
      <c r="AM83" s="117" t="e">
        <f t="shared" si="9"/>
        <v>#N/A</v>
      </c>
      <c r="AN83" s="117" t="e">
        <f t="shared" si="9"/>
        <v>#N/A</v>
      </c>
      <c r="AO83" s="479" t="e">
        <f>INDEX('Tariff (hidden)'!$B$4:$B$133,MATCH(B83,'Tariff (hidden)'!$A$4:$A$133,0))</f>
        <v>#N/A</v>
      </c>
    </row>
    <row r="84" spans="1:41" x14ac:dyDescent="0.25">
      <c r="A84" s="120"/>
      <c r="B84" s="111"/>
      <c r="C84" s="112"/>
      <c r="D84" s="111"/>
      <c r="E84" s="545"/>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Arm9'!D84,Staff_Costs[[#All],[Role]],0),MATCH("Per-minute cost",Staff_Costs[#Headers],0))*'Per-Participant Activities Arm9'!C84)</f>
        <v>#N/A</v>
      </c>
      <c r="AJ84" s="117" t="e">
        <f t="shared" si="9"/>
        <v>#N/A</v>
      </c>
      <c r="AK84" s="117" t="e">
        <f t="shared" si="9"/>
        <v>#N/A</v>
      </c>
      <c r="AL84" s="117" t="e">
        <f t="shared" si="9"/>
        <v>#N/A</v>
      </c>
      <c r="AM84" s="117" t="e">
        <f t="shared" si="9"/>
        <v>#N/A</v>
      </c>
      <c r="AN84" s="117" t="e">
        <f t="shared" si="9"/>
        <v>#N/A</v>
      </c>
      <c r="AO84" s="479" t="e">
        <f>INDEX('Tariff (hidden)'!$B$4:$B$133,MATCH(B84,'Tariff (hidden)'!$A$4:$A$133,0))</f>
        <v>#N/A</v>
      </c>
    </row>
    <row r="85" spans="1:41" x14ac:dyDescent="0.25">
      <c r="A85" s="120"/>
      <c r="B85" s="111"/>
      <c r="C85" s="112"/>
      <c r="D85" s="111"/>
      <c r="E85" s="545"/>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Arm9'!D85,Staff_Costs[[#All],[Role]],0),MATCH("Per-minute cost",Staff_Costs[#Headers],0))*'Per-Participant Activities Arm9'!C85)</f>
        <v>#N/A</v>
      </c>
      <c r="AJ85" s="117" t="e">
        <f t="shared" si="9"/>
        <v>#N/A</v>
      </c>
      <c r="AK85" s="117" t="e">
        <f t="shared" si="9"/>
        <v>#N/A</v>
      </c>
      <c r="AL85" s="117" t="e">
        <f t="shared" si="9"/>
        <v>#N/A</v>
      </c>
      <c r="AM85" s="117" t="e">
        <f t="shared" si="9"/>
        <v>#N/A</v>
      </c>
      <c r="AN85" s="117" t="e">
        <f t="shared" si="9"/>
        <v>#N/A</v>
      </c>
      <c r="AO85" s="479" t="e">
        <f>INDEX('Tariff (hidden)'!$B$4:$B$133,MATCH(B85,'Tariff (hidden)'!$A$4:$A$133,0))</f>
        <v>#N/A</v>
      </c>
    </row>
    <row r="86" spans="1:41" x14ac:dyDescent="0.25">
      <c r="A86" s="120"/>
      <c r="B86" s="111"/>
      <c r="C86" s="112"/>
      <c r="D86" s="111"/>
      <c r="E86" s="545"/>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Arm9'!D86,Staff_Costs[[#All],[Role]],0),MATCH("Per-minute cost",Staff_Costs[#Headers],0))*'Per-Participant Activities Arm9'!C86)</f>
        <v>#N/A</v>
      </c>
      <c r="AJ86" s="117" t="e">
        <f t="shared" si="9"/>
        <v>#N/A</v>
      </c>
      <c r="AK86" s="117" t="e">
        <f t="shared" si="9"/>
        <v>#N/A</v>
      </c>
      <c r="AL86" s="117" t="e">
        <f t="shared" si="9"/>
        <v>#N/A</v>
      </c>
      <c r="AM86" s="117" t="e">
        <f t="shared" si="9"/>
        <v>#N/A</v>
      </c>
      <c r="AN86" s="117" t="e">
        <f t="shared" si="9"/>
        <v>#N/A</v>
      </c>
      <c r="AO86" s="479" t="e">
        <f>INDEX('Tariff (hidden)'!$B$4:$B$133,MATCH(B86,'Tariff (hidden)'!$A$4:$A$133,0))</f>
        <v>#N/A</v>
      </c>
    </row>
    <row r="87" spans="1:41" x14ac:dyDescent="0.25">
      <c r="A87" s="120"/>
      <c r="B87" s="111"/>
      <c r="C87" s="112"/>
      <c r="D87" s="111"/>
      <c r="E87" s="545"/>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Arm9'!D87,Staff_Costs[[#All],[Role]],0),MATCH("Per-minute cost",Staff_Costs[#Headers],0))*'Per-Participant Activities Arm9'!C87)</f>
        <v>#N/A</v>
      </c>
      <c r="AJ87" s="117" t="e">
        <f t="shared" si="9"/>
        <v>#N/A</v>
      </c>
      <c r="AK87" s="117" t="e">
        <f t="shared" si="9"/>
        <v>#N/A</v>
      </c>
      <c r="AL87" s="117" t="e">
        <f t="shared" si="9"/>
        <v>#N/A</v>
      </c>
      <c r="AM87" s="117" t="e">
        <f t="shared" si="9"/>
        <v>#N/A</v>
      </c>
      <c r="AN87" s="117" t="e">
        <f t="shared" si="9"/>
        <v>#N/A</v>
      </c>
      <c r="AO87" s="479" t="e">
        <f>INDEX('Tariff (hidden)'!$B$4:$B$133,MATCH(B87,'Tariff (hidden)'!$A$4:$A$133,0))</f>
        <v>#N/A</v>
      </c>
    </row>
    <row r="88" spans="1:41" x14ac:dyDescent="0.25">
      <c r="A88" s="120"/>
      <c r="B88" s="111"/>
      <c r="C88" s="112"/>
      <c r="D88" s="111"/>
      <c r="E88" s="545"/>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Arm9'!D88,Staff_Costs[[#All],[Role]],0),MATCH("Per-minute cost",Staff_Costs[#Headers],0))*'Per-Participant Activities Arm9'!C88)</f>
        <v>#N/A</v>
      </c>
      <c r="AJ88" s="117" t="e">
        <f t="shared" si="9"/>
        <v>#N/A</v>
      </c>
      <c r="AK88" s="117" t="e">
        <f t="shared" si="9"/>
        <v>#N/A</v>
      </c>
      <c r="AL88" s="117" t="e">
        <f t="shared" si="9"/>
        <v>#N/A</v>
      </c>
      <c r="AM88" s="117" t="e">
        <f t="shared" si="9"/>
        <v>#N/A</v>
      </c>
      <c r="AN88" s="117" t="e">
        <f t="shared" si="9"/>
        <v>#N/A</v>
      </c>
      <c r="AO88" s="479" t="e">
        <f>INDEX('Tariff (hidden)'!$B$4:$B$133,MATCH(B88,'Tariff (hidden)'!$A$4:$A$133,0))</f>
        <v>#N/A</v>
      </c>
    </row>
    <row r="89" spans="1:41" x14ac:dyDescent="0.25">
      <c r="A89" s="120"/>
      <c r="B89" s="111"/>
      <c r="C89" s="112"/>
      <c r="D89" s="111"/>
      <c r="E89" s="545"/>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Arm9'!D89,Staff_Costs[[#All],[Role]],0),MATCH("Per-minute cost",Staff_Costs[#Headers],0))*'Per-Participant Activities Arm9'!C89)</f>
        <v>#N/A</v>
      </c>
      <c r="AJ89" s="117" t="e">
        <f t="shared" si="9"/>
        <v>#N/A</v>
      </c>
      <c r="AK89" s="117" t="e">
        <f t="shared" si="9"/>
        <v>#N/A</v>
      </c>
      <c r="AL89" s="117" t="e">
        <f t="shared" si="9"/>
        <v>#N/A</v>
      </c>
      <c r="AM89" s="117" t="e">
        <f t="shared" si="9"/>
        <v>#N/A</v>
      </c>
      <c r="AN89" s="117" t="e">
        <f t="shared" si="9"/>
        <v>#N/A</v>
      </c>
      <c r="AO89" s="479" t="e">
        <f>INDEX('Tariff (hidden)'!$B$4:$B$133,MATCH(B89,'Tariff (hidden)'!$A$4:$A$133,0))</f>
        <v>#N/A</v>
      </c>
    </row>
    <row r="90" spans="1:41" x14ac:dyDescent="0.25">
      <c r="A90" s="120"/>
      <c r="B90" s="111"/>
      <c r="C90" s="112"/>
      <c r="D90" s="111"/>
      <c r="E90" s="545"/>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Arm9'!D90,Staff_Costs[[#All],[Role]],0),MATCH("Per-minute cost",Staff_Costs[#Headers],0))*'Per-Participant Activities Arm9'!C90)</f>
        <v>#N/A</v>
      </c>
      <c r="AJ90" s="117" t="e">
        <f t="shared" ref="AJ90:AN99" si="10">COUNTIF($F90:$AH90, AJ$8)*$AI90</f>
        <v>#N/A</v>
      </c>
      <c r="AK90" s="117" t="e">
        <f t="shared" si="10"/>
        <v>#N/A</v>
      </c>
      <c r="AL90" s="117" t="e">
        <f t="shared" si="10"/>
        <v>#N/A</v>
      </c>
      <c r="AM90" s="117" t="e">
        <f t="shared" si="10"/>
        <v>#N/A</v>
      </c>
      <c r="AN90" s="117" t="e">
        <f t="shared" si="10"/>
        <v>#N/A</v>
      </c>
      <c r="AO90" s="479" t="e">
        <f>INDEX('Tariff (hidden)'!$B$4:$B$133,MATCH(B90,'Tariff (hidden)'!$A$4:$A$133,0))</f>
        <v>#N/A</v>
      </c>
    </row>
    <row r="91" spans="1:41" x14ac:dyDescent="0.25">
      <c r="A91" s="120"/>
      <c r="B91" s="111"/>
      <c r="C91" s="112"/>
      <c r="D91" s="111"/>
      <c r="E91" s="545"/>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Arm9'!D91,Staff_Costs[[#All],[Role]],0),MATCH("Per-minute cost",Staff_Costs[#Headers],0))*'Per-Participant Activities Arm9'!C91)</f>
        <v>#N/A</v>
      </c>
      <c r="AJ91" s="117" t="e">
        <f t="shared" si="10"/>
        <v>#N/A</v>
      </c>
      <c r="AK91" s="117" t="e">
        <f t="shared" si="10"/>
        <v>#N/A</v>
      </c>
      <c r="AL91" s="117" t="e">
        <f t="shared" si="10"/>
        <v>#N/A</v>
      </c>
      <c r="AM91" s="117" t="e">
        <f t="shared" si="10"/>
        <v>#N/A</v>
      </c>
      <c r="AN91" s="117" t="e">
        <f t="shared" si="10"/>
        <v>#N/A</v>
      </c>
      <c r="AO91" s="479" t="e">
        <f>INDEX('Tariff (hidden)'!$B$4:$B$133,MATCH(B91,'Tariff (hidden)'!$A$4:$A$133,0))</f>
        <v>#N/A</v>
      </c>
    </row>
    <row r="92" spans="1:41" x14ac:dyDescent="0.25">
      <c r="A92" s="120"/>
      <c r="B92" s="111"/>
      <c r="C92" s="112"/>
      <c r="D92" s="111"/>
      <c r="E92" s="545"/>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Arm9'!D92,Staff_Costs[[#All],[Role]],0),MATCH("Per-minute cost",Staff_Costs[#Headers],0))*'Per-Participant Activities Arm9'!C92)</f>
        <v>#N/A</v>
      </c>
      <c r="AJ92" s="117" t="e">
        <f t="shared" si="10"/>
        <v>#N/A</v>
      </c>
      <c r="AK92" s="117" t="e">
        <f t="shared" si="10"/>
        <v>#N/A</v>
      </c>
      <c r="AL92" s="117" t="e">
        <f t="shared" si="10"/>
        <v>#N/A</v>
      </c>
      <c r="AM92" s="117" t="e">
        <f t="shared" si="10"/>
        <v>#N/A</v>
      </c>
      <c r="AN92" s="117" t="e">
        <f t="shared" si="10"/>
        <v>#N/A</v>
      </c>
      <c r="AO92" s="479" t="e">
        <f>INDEX('Tariff (hidden)'!$B$4:$B$133,MATCH(B92,'Tariff (hidden)'!$A$4:$A$133,0))</f>
        <v>#N/A</v>
      </c>
    </row>
    <row r="93" spans="1:41" x14ac:dyDescent="0.25">
      <c r="A93" s="120"/>
      <c r="B93" s="111"/>
      <c r="C93" s="112"/>
      <c r="D93" s="111"/>
      <c r="E93" s="545"/>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Arm9'!D93,Staff_Costs[[#All],[Role]],0),MATCH("Per-minute cost",Staff_Costs[#Headers],0))*'Per-Participant Activities Arm9'!C93)</f>
        <v>#N/A</v>
      </c>
      <c r="AJ93" s="117" t="e">
        <f t="shared" si="10"/>
        <v>#N/A</v>
      </c>
      <c r="AK93" s="117" t="e">
        <f t="shared" si="10"/>
        <v>#N/A</v>
      </c>
      <c r="AL93" s="117" t="e">
        <f t="shared" si="10"/>
        <v>#N/A</v>
      </c>
      <c r="AM93" s="117" t="e">
        <f t="shared" si="10"/>
        <v>#N/A</v>
      </c>
      <c r="AN93" s="117" t="e">
        <f t="shared" si="10"/>
        <v>#N/A</v>
      </c>
      <c r="AO93" s="479" t="e">
        <f>INDEX('Tariff (hidden)'!$B$4:$B$133,MATCH(B93,'Tariff (hidden)'!$A$4:$A$133,0))</f>
        <v>#N/A</v>
      </c>
    </row>
    <row r="94" spans="1:41" x14ac:dyDescent="0.25">
      <c r="A94" s="120"/>
      <c r="B94" s="111"/>
      <c r="C94" s="112"/>
      <c r="D94" s="111"/>
      <c r="E94" s="545"/>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Arm9'!D94,Staff_Costs[[#All],[Role]],0),MATCH("Per-minute cost",Staff_Costs[#Headers],0))*'Per-Participant Activities Arm9'!C94)</f>
        <v>#N/A</v>
      </c>
      <c r="AJ94" s="117" t="e">
        <f t="shared" si="10"/>
        <v>#N/A</v>
      </c>
      <c r="AK94" s="117" t="e">
        <f t="shared" si="10"/>
        <v>#N/A</v>
      </c>
      <c r="AL94" s="117" t="e">
        <f t="shared" si="10"/>
        <v>#N/A</v>
      </c>
      <c r="AM94" s="117" t="e">
        <f t="shared" si="10"/>
        <v>#N/A</v>
      </c>
      <c r="AN94" s="117" t="e">
        <f t="shared" si="10"/>
        <v>#N/A</v>
      </c>
      <c r="AO94" s="479" t="e">
        <f>INDEX('Tariff (hidden)'!$B$4:$B$133,MATCH(B94,'Tariff (hidden)'!$A$4:$A$133,0))</f>
        <v>#N/A</v>
      </c>
    </row>
    <row r="95" spans="1:41" x14ac:dyDescent="0.25">
      <c r="A95" s="120"/>
      <c r="B95" s="111"/>
      <c r="C95" s="112"/>
      <c r="D95" s="111"/>
      <c r="E95" s="545"/>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Arm9'!D95,Staff_Costs[[#All],[Role]],0),MATCH("Per-minute cost",Staff_Costs[#Headers],0))*'Per-Participant Activities Arm9'!C95)</f>
        <v>#N/A</v>
      </c>
      <c r="AJ95" s="117" t="e">
        <f t="shared" si="10"/>
        <v>#N/A</v>
      </c>
      <c r="AK95" s="117" t="e">
        <f t="shared" si="10"/>
        <v>#N/A</v>
      </c>
      <c r="AL95" s="117" t="e">
        <f t="shared" si="10"/>
        <v>#N/A</v>
      </c>
      <c r="AM95" s="117" t="e">
        <f t="shared" si="10"/>
        <v>#N/A</v>
      </c>
      <c r="AN95" s="117" t="e">
        <f t="shared" si="10"/>
        <v>#N/A</v>
      </c>
      <c r="AO95" s="479" t="e">
        <f>INDEX('Tariff (hidden)'!$B$4:$B$133,MATCH(B95,'Tariff (hidden)'!$A$4:$A$133,0))</f>
        <v>#N/A</v>
      </c>
    </row>
    <row r="96" spans="1:41" x14ac:dyDescent="0.25">
      <c r="A96" s="120"/>
      <c r="B96" s="111"/>
      <c r="C96" s="112"/>
      <c r="D96" s="111"/>
      <c r="E96" s="545"/>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Arm9'!D96,Staff_Costs[[#All],[Role]],0),MATCH("Per-minute cost",Staff_Costs[#Headers],0))*'Per-Participant Activities Arm9'!C96)</f>
        <v>#N/A</v>
      </c>
      <c r="AJ96" s="117" t="e">
        <f t="shared" si="10"/>
        <v>#N/A</v>
      </c>
      <c r="AK96" s="117" t="e">
        <f t="shared" si="10"/>
        <v>#N/A</v>
      </c>
      <c r="AL96" s="117" t="e">
        <f t="shared" si="10"/>
        <v>#N/A</v>
      </c>
      <c r="AM96" s="117" t="e">
        <f t="shared" si="10"/>
        <v>#N/A</v>
      </c>
      <c r="AN96" s="117" t="e">
        <f t="shared" si="10"/>
        <v>#N/A</v>
      </c>
      <c r="AO96" s="479" t="e">
        <f>INDEX('Tariff (hidden)'!$B$4:$B$133,MATCH(B96,'Tariff (hidden)'!$A$4:$A$133,0))</f>
        <v>#N/A</v>
      </c>
    </row>
    <row r="97" spans="1:41" x14ac:dyDescent="0.25">
      <c r="A97" s="120"/>
      <c r="B97" s="111"/>
      <c r="C97" s="112"/>
      <c r="D97" s="111"/>
      <c r="E97" s="545"/>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Arm9'!D97,Staff_Costs[[#All],[Role]],0),MATCH("Per-minute cost",Staff_Costs[#Headers],0))*'Per-Participant Activities Arm9'!C97)</f>
        <v>#N/A</v>
      </c>
      <c r="AJ97" s="117" t="e">
        <f t="shared" si="10"/>
        <v>#N/A</v>
      </c>
      <c r="AK97" s="117" t="e">
        <f t="shared" si="10"/>
        <v>#N/A</v>
      </c>
      <c r="AL97" s="117" t="e">
        <f t="shared" si="10"/>
        <v>#N/A</v>
      </c>
      <c r="AM97" s="117" t="e">
        <f t="shared" si="10"/>
        <v>#N/A</v>
      </c>
      <c r="AN97" s="117" t="e">
        <f t="shared" si="10"/>
        <v>#N/A</v>
      </c>
      <c r="AO97" s="479" t="e">
        <f>INDEX('Tariff (hidden)'!$B$4:$B$133,MATCH(B97,'Tariff (hidden)'!$A$4:$A$133,0))</f>
        <v>#N/A</v>
      </c>
    </row>
    <row r="98" spans="1:41" x14ac:dyDescent="0.25">
      <c r="A98" s="120"/>
      <c r="B98" s="111"/>
      <c r="C98" s="112"/>
      <c r="D98" s="111"/>
      <c r="E98" s="545"/>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Arm9'!D98,Staff_Costs[[#All],[Role]],0),MATCH("Per-minute cost",Staff_Costs[#Headers],0))*'Per-Participant Activities Arm9'!C98)</f>
        <v>#N/A</v>
      </c>
      <c r="AJ98" s="117" t="e">
        <f t="shared" si="10"/>
        <v>#N/A</v>
      </c>
      <c r="AK98" s="117" t="e">
        <f t="shared" si="10"/>
        <v>#N/A</v>
      </c>
      <c r="AL98" s="117" t="e">
        <f t="shared" si="10"/>
        <v>#N/A</v>
      </c>
      <c r="AM98" s="117" t="e">
        <f t="shared" si="10"/>
        <v>#N/A</v>
      </c>
      <c r="AN98" s="117" t="e">
        <f t="shared" si="10"/>
        <v>#N/A</v>
      </c>
      <c r="AO98" s="479" t="e">
        <f>INDEX('Tariff (hidden)'!$B$4:$B$133,MATCH(B98,'Tariff (hidden)'!$A$4:$A$133,0))</f>
        <v>#N/A</v>
      </c>
    </row>
    <row r="99" spans="1:41" x14ac:dyDescent="0.25">
      <c r="A99" s="120"/>
      <c r="B99" s="111"/>
      <c r="C99" s="112"/>
      <c r="D99" s="111"/>
      <c r="E99" s="545"/>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Arm9'!D99,Staff_Costs[[#All],[Role]],0),MATCH("Per-minute cost",Staff_Costs[#Headers],0))*'Per-Participant Activities Arm9'!C99)</f>
        <v>#N/A</v>
      </c>
      <c r="AJ99" s="117" t="e">
        <f t="shared" si="10"/>
        <v>#N/A</v>
      </c>
      <c r="AK99" s="117" t="e">
        <f t="shared" si="10"/>
        <v>#N/A</v>
      </c>
      <c r="AL99" s="117" t="e">
        <f t="shared" si="10"/>
        <v>#N/A</v>
      </c>
      <c r="AM99" s="117" t="e">
        <f t="shared" si="10"/>
        <v>#N/A</v>
      </c>
      <c r="AN99" s="117" t="e">
        <f t="shared" si="10"/>
        <v>#N/A</v>
      </c>
      <c r="AO99" s="479" t="e">
        <f>INDEX('Tariff (hidden)'!$B$4:$B$133,MATCH(B99,'Tariff (hidden)'!$A$4:$A$133,0))</f>
        <v>#N/A</v>
      </c>
    </row>
    <row r="100" spans="1:41" x14ac:dyDescent="0.25">
      <c r="A100" s="120"/>
      <c r="B100" s="111"/>
      <c r="C100" s="112"/>
      <c r="D100" s="111"/>
      <c r="E100" s="545"/>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Arm9'!D100,Staff_Costs[[#All],[Role]],0),MATCH("Per-minute cost",Staff_Costs[#Headers],0))*'Per-Participant Activities Arm9'!C100)</f>
        <v>#N/A</v>
      </c>
      <c r="AJ100" s="117" t="e">
        <f t="shared" ref="AJ100:AN110" si="11">COUNTIF($F100:$AH100, AJ$8)*$AI100</f>
        <v>#N/A</v>
      </c>
      <c r="AK100" s="117" t="e">
        <f t="shared" si="11"/>
        <v>#N/A</v>
      </c>
      <c r="AL100" s="117" t="e">
        <f t="shared" si="11"/>
        <v>#N/A</v>
      </c>
      <c r="AM100" s="117" t="e">
        <f t="shared" si="11"/>
        <v>#N/A</v>
      </c>
      <c r="AN100" s="117" t="e">
        <f t="shared" si="11"/>
        <v>#N/A</v>
      </c>
      <c r="AO100" s="479" t="e">
        <f>INDEX('Tariff (hidden)'!$B$4:$B$133,MATCH(B100,'Tariff (hidden)'!$A$4:$A$133,0))</f>
        <v>#N/A</v>
      </c>
    </row>
    <row r="101" spans="1:41" x14ac:dyDescent="0.25">
      <c r="A101" s="120"/>
      <c r="B101" s="111"/>
      <c r="C101" s="112"/>
      <c r="D101" s="111"/>
      <c r="E101" s="545"/>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Arm9'!D101,Staff_Costs[[#All],[Role]],0),MATCH("Per-minute cost",Staff_Costs[#Headers],0))*'Per-Participant Activities Arm9'!C101)</f>
        <v>#N/A</v>
      </c>
      <c r="AJ101" s="117" t="e">
        <f t="shared" si="11"/>
        <v>#N/A</v>
      </c>
      <c r="AK101" s="117" t="e">
        <f t="shared" si="11"/>
        <v>#N/A</v>
      </c>
      <c r="AL101" s="117" t="e">
        <f t="shared" si="11"/>
        <v>#N/A</v>
      </c>
      <c r="AM101" s="117" t="e">
        <f t="shared" si="11"/>
        <v>#N/A</v>
      </c>
      <c r="AN101" s="117" t="e">
        <f t="shared" si="11"/>
        <v>#N/A</v>
      </c>
      <c r="AO101" s="479" t="e">
        <f>INDEX('Tariff (hidden)'!$B$4:$B$133,MATCH(B101,'Tariff (hidden)'!$A$4:$A$133,0))</f>
        <v>#N/A</v>
      </c>
    </row>
    <row r="102" spans="1:41" x14ac:dyDescent="0.25">
      <c r="A102" s="120"/>
      <c r="B102" s="111"/>
      <c r="C102" s="112"/>
      <c r="D102" s="111"/>
      <c r="E102" s="545"/>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Arm9'!D102,Staff_Costs[[#All],[Role]],0),MATCH("Per-minute cost",Staff_Costs[#Headers],0))*'Per-Participant Activities Arm9'!C102)</f>
        <v>#N/A</v>
      </c>
      <c r="AJ102" s="117" t="e">
        <f t="shared" si="11"/>
        <v>#N/A</v>
      </c>
      <c r="AK102" s="117" t="e">
        <f t="shared" si="11"/>
        <v>#N/A</v>
      </c>
      <c r="AL102" s="117" t="e">
        <f t="shared" si="11"/>
        <v>#N/A</v>
      </c>
      <c r="AM102" s="117" t="e">
        <f t="shared" si="11"/>
        <v>#N/A</v>
      </c>
      <c r="AN102" s="117" t="e">
        <f t="shared" si="11"/>
        <v>#N/A</v>
      </c>
      <c r="AO102" s="479" t="e">
        <f>INDEX('Tariff (hidden)'!$B$4:$B$133,MATCH(B102,'Tariff (hidden)'!$A$4:$A$133,0))</f>
        <v>#N/A</v>
      </c>
    </row>
    <row r="103" spans="1:41" x14ac:dyDescent="0.25">
      <c r="A103" s="120"/>
      <c r="B103" s="111"/>
      <c r="C103" s="112"/>
      <c r="D103" s="111"/>
      <c r="E103" s="545"/>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Arm9'!D103,Staff_Costs[[#All],[Role]],0),MATCH("Per-minute cost",Staff_Costs[#Headers],0))*'Per-Participant Activities Arm9'!C103)</f>
        <v>#N/A</v>
      </c>
      <c r="AJ103" s="117" t="e">
        <f t="shared" si="11"/>
        <v>#N/A</v>
      </c>
      <c r="AK103" s="117" t="e">
        <f t="shared" si="11"/>
        <v>#N/A</v>
      </c>
      <c r="AL103" s="117" t="e">
        <f t="shared" si="11"/>
        <v>#N/A</v>
      </c>
      <c r="AM103" s="117" t="e">
        <f t="shared" si="11"/>
        <v>#N/A</v>
      </c>
      <c r="AN103" s="117" t="e">
        <f t="shared" si="11"/>
        <v>#N/A</v>
      </c>
      <c r="AO103" s="479" t="e">
        <f>INDEX('Tariff (hidden)'!$B$4:$B$133,MATCH(B103,'Tariff (hidden)'!$A$4:$A$133,0))</f>
        <v>#N/A</v>
      </c>
    </row>
    <row r="104" spans="1:41" x14ac:dyDescent="0.25">
      <c r="A104" s="120"/>
      <c r="B104" s="111"/>
      <c r="C104" s="112"/>
      <c r="D104" s="111"/>
      <c r="E104" s="545"/>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Arm9'!D104,Staff_Costs[[#All],[Role]],0),MATCH("Per-minute cost",Staff_Costs[#Headers],0))*'Per-Participant Activities Arm9'!C104)</f>
        <v>#N/A</v>
      </c>
      <c r="AJ104" s="117" t="e">
        <f t="shared" si="11"/>
        <v>#N/A</v>
      </c>
      <c r="AK104" s="117" t="e">
        <f t="shared" si="11"/>
        <v>#N/A</v>
      </c>
      <c r="AL104" s="117" t="e">
        <f t="shared" si="11"/>
        <v>#N/A</v>
      </c>
      <c r="AM104" s="117" t="e">
        <f t="shared" si="11"/>
        <v>#N/A</v>
      </c>
      <c r="AN104" s="117" t="e">
        <f t="shared" si="11"/>
        <v>#N/A</v>
      </c>
      <c r="AO104" s="479" t="e">
        <f>INDEX('Tariff (hidden)'!$B$4:$B$133,MATCH(B104,'Tariff (hidden)'!$A$4:$A$133,0))</f>
        <v>#N/A</v>
      </c>
    </row>
    <row r="105" spans="1:41" x14ac:dyDescent="0.25">
      <c r="A105" s="120"/>
      <c r="B105" s="111"/>
      <c r="C105" s="112"/>
      <c r="D105" s="111"/>
      <c r="E105" s="545"/>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Arm9'!D105,Staff_Costs[[#All],[Role]],0),MATCH("Per-minute cost",Staff_Costs[#Headers],0))*'Per-Participant Activities Arm9'!C105)</f>
        <v>#N/A</v>
      </c>
      <c r="AJ105" s="117" t="e">
        <f t="shared" si="11"/>
        <v>#N/A</v>
      </c>
      <c r="AK105" s="117" t="e">
        <f t="shared" si="11"/>
        <v>#N/A</v>
      </c>
      <c r="AL105" s="117" t="e">
        <f t="shared" si="11"/>
        <v>#N/A</v>
      </c>
      <c r="AM105" s="117" t="e">
        <f t="shared" si="11"/>
        <v>#N/A</v>
      </c>
      <c r="AN105" s="117" t="e">
        <f t="shared" si="11"/>
        <v>#N/A</v>
      </c>
      <c r="AO105" s="479" t="e">
        <f>INDEX('Tariff (hidden)'!$B$4:$B$133,MATCH(B105,'Tariff (hidden)'!$A$4:$A$133,0))</f>
        <v>#N/A</v>
      </c>
    </row>
    <row r="106" spans="1:41" x14ac:dyDescent="0.25">
      <c r="A106" s="120"/>
      <c r="B106" s="111"/>
      <c r="C106" s="112"/>
      <c r="D106" s="111"/>
      <c r="E106" s="545"/>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Arm9'!D106,Staff_Costs[[#All],[Role]],0),MATCH("Per-minute cost",Staff_Costs[#Headers],0))*'Per-Participant Activities Arm9'!C106)</f>
        <v>#N/A</v>
      </c>
      <c r="AJ106" s="117" t="e">
        <f t="shared" si="11"/>
        <v>#N/A</v>
      </c>
      <c r="AK106" s="117" t="e">
        <f t="shared" si="11"/>
        <v>#N/A</v>
      </c>
      <c r="AL106" s="117" t="e">
        <f t="shared" si="11"/>
        <v>#N/A</v>
      </c>
      <c r="AM106" s="117" t="e">
        <f t="shared" si="11"/>
        <v>#N/A</v>
      </c>
      <c r="AN106" s="117" t="e">
        <f t="shared" si="11"/>
        <v>#N/A</v>
      </c>
      <c r="AO106" s="479" t="e">
        <f>INDEX('Tariff (hidden)'!$B$4:$B$133,MATCH(B106,'Tariff (hidden)'!$A$4:$A$133,0))</f>
        <v>#N/A</v>
      </c>
    </row>
    <row r="107" spans="1:41" x14ac:dyDescent="0.25">
      <c r="A107" s="120"/>
      <c r="B107" s="111"/>
      <c r="C107" s="112"/>
      <c r="D107" s="111"/>
      <c r="E107" s="545"/>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Arm9'!D107,Staff_Costs[[#All],[Role]],0),MATCH("Per-minute cost",Staff_Costs[#Headers],0))*'Per-Participant Activities Arm9'!C107)</f>
        <v>#N/A</v>
      </c>
      <c r="AJ107" s="117" t="e">
        <f t="shared" si="11"/>
        <v>#N/A</v>
      </c>
      <c r="AK107" s="117" t="e">
        <f t="shared" si="11"/>
        <v>#N/A</v>
      </c>
      <c r="AL107" s="117" t="e">
        <f t="shared" si="11"/>
        <v>#N/A</v>
      </c>
      <c r="AM107" s="117" t="e">
        <f t="shared" si="11"/>
        <v>#N/A</v>
      </c>
      <c r="AN107" s="117" t="e">
        <f t="shared" si="11"/>
        <v>#N/A</v>
      </c>
      <c r="AO107" s="479" t="e">
        <f>INDEX('Tariff (hidden)'!$B$4:$B$133,MATCH(B107,'Tariff (hidden)'!$A$4:$A$133,0))</f>
        <v>#N/A</v>
      </c>
    </row>
    <row r="108" spans="1:41" x14ac:dyDescent="0.25">
      <c r="A108" s="120"/>
      <c r="B108" s="111"/>
      <c r="C108" s="112"/>
      <c r="D108" s="111"/>
      <c r="E108" s="545"/>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Arm9'!D108,Staff_Costs[[#All],[Role]],0),MATCH("Per-minute cost",Staff_Costs[#Headers],0))*'Per-Participant Activities Arm9'!C108)</f>
        <v>#N/A</v>
      </c>
      <c r="AJ108" s="117" t="e">
        <f t="shared" si="11"/>
        <v>#N/A</v>
      </c>
      <c r="AK108" s="117" t="e">
        <f t="shared" si="11"/>
        <v>#N/A</v>
      </c>
      <c r="AL108" s="117" t="e">
        <f t="shared" si="11"/>
        <v>#N/A</v>
      </c>
      <c r="AM108" s="117" t="e">
        <f t="shared" si="11"/>
        <v>#N/A</v>
      </c>
      <c r="AN108" s="117" t="e">
        <f t="shared" si="11"/>
        <v>#N/A</v>
      </c>
      <c r="AO108" s="479" t="e">
        <f>INDEX('Tariff (hidden)'!$B$4:$B$133,MATCH(B108,'Tariff (hidden)'!$A$4:$A$133,0))</f>
        <v>#N/A</v>
      </c>
    </row>
    <row r="109" spans="1:41" x14ac:dyDescent="0.25">
      <c r="A109" s="120"/>
      <c r="B109" s="111"/>
      <c r="C109" s="112"/>
      <c r="D109" s="111"/>
      <c r="E109" s="545"/>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Arm9'!D109,Staff_Costs[[#All],[Role]],0),MATCH("Per-minute cost",Staff_Costs[#Headers],0))*'Per-Participant Activities Arm9'!C109)</f>
        <v>#N/A</v>
      </c>
      <c r="AJ109" s="117" t="e">
        <f t="shared" si="11"/>
        <v>#N/A</v>
      </c>
      <c r="AK109" s="117" t="e">
        <f t="shared" si="11"/>
        <v>#N/A</v>
      </c>
      <c r="AL109" s="117" t="e">
        <f t="shared" si="11"/>
        <v>#N/A</v>
      </c>
      <c r="AM109" s="117" t="e">
        <f t="shared" si="11"/>
        <v>#N/A</v>
      </c>
      <c r="AN109" s="117" t="e">
        <f t="shared" si="11"/>
        <v>#N/A</v>
      </c>
      <c r="AO109" s="479" t="e">
        <f>INDEX('Tariff (hidden)'!$B$4:$B$133,MATCH(B109,'Tariff (hidden)'!$A$4:$A$133,0))</f>
        <v>#N/A</v>
      </c>
    </row>
    <row r="110" spans="1:41" x14ac:dyDescent="0.25">
      <c r="A110" s="120"/>
      <c r="B110" s="111"/>
      <c r="C110" s="112"/>
      <c r="D110" s="111"/>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Arm9'!D110,Staff_Costs[[#All],[Role]],0),MATCH("Per-minute cost",Staff_Costs[#Headers],0))*'Per-Participant Activities Arm9'!C110)</f>
        <v>#N/A</v>
      </c>
      <c r="AJ110" s="117" t="e">
        <f t="shared" si="11"/>
        <v>#N/A</v>
      </c>
      <c r="AK110" s="117" t="e">
        <f t="shared" si="11"/>
        <v>#N/A</v>
      </c>
      <c r="AL110" s="117" t="e">
        <f t="shared" si="11"/>
        <v>#N/A</v>
      </c>
      <c r="AM110" s="117" t="e">
        <f t="shared" si="11"/>
        <v>#N/A</v>
      </c>
      <c r="AN110" s="117" t="e">
        <f t="shared" si="11"/>
        <v>#N/A</v>
      </c>
      <c r="AO110" s="479" t="e">
        <f>INDEX('Tariff (hidden)'!$B$4:$B$133,MATCH(B110,'Tariff (hidden)'!$A$4:$A$133,0))</f>
        <v>#N/A</v>
      </c>
    </row>
  </sheetData>
  <sheetProtection algorithmName="SHA-512" hashValue="93fdFVfg5V8O7lCj8P3xb0mBk3en69c5IXGznXdHGGChp5Gp9Y+OsbBC+5Ou1/yamfJNlSdO7EG1CibG2GSRlw==" saltValue="EV2jZCjiD+JoVPguQp5hz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63" priority="3">
      <formula>IF($AO10="investigation",TRUE,FALSE)</formula>
    </cfRule>
  </conditionalFormatting>
  <conditionalFormatting sqref="C11">
    <cfRule type="expression" dxfId="362" priority="2">
      <formula>IF($AO11="investigation",TRUE,FALSE)</formula>
    </cfRule>
  </conditionalFormatting>
  <conditionalFormatting sqref="C65:C110">
    <cfRule type="expression" dxfId="361"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627</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546"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ActivitiesArm10'!D10,Staff_Costs[[#All],[Role]],0),MATCH("Per-minute cost",Staff_Costs[#Headers],0))*'Per-Participant ActivitiesArm10'!C10)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ActivitiesArm10'!D11,Staff_Costs[[#All],[Role]],0),MATCH("Per-minute cost",Staff_Costs[#Headers],0))*'Per-Participant ActivitiesArm10'!C11)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ActivitiesArm10'!D12,Staff_Costs[[#All],[Role]],0),MATCH("Per-minute cost",Staff_Costs[#Headers],0))*'Per-Participant ActivitiesArm10'!C12)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ActivitiesArm10'!D13,Staff_Costs[[#All],[Role]],0),MATCH("Per-minute cost",Staff_Costs[#Headers],0))*'Per-Participant ActivitiesArm10'!C13)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ActivitiesArm10'!D14,Staff_Costs[[#All],[Role]],0),MATCH("Per-minute cost",Staff_Costs[#Headers],0))*'Per-Participant ActivitiesArm10'!C14)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ActivitiesArm10'!D15,Staff_Costs[[#All],[Role]],0),MATCH("Per-minute cost",Staff_Costs[#Headers],0))*'Per-Participant ActivitiesArm10'!C15)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ActivitiesArm10'!D16,Staff_Costs[[#All],[Role]],0),MATCH("Per-minute cost",Staff_Costs[#Headers],0))*'Per-Participant ActivitiesArm10'!C16)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ActivitiesArm10'!D17,Staff_Costs[[#All],[Role]],0),MATCH("Per-minute cost",Staff_Costs[#Headers],0))*'Per-Participant ActivitiesArm10'!C17)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ActivitiesArm10'!D18,Staff_Costs[[#All],[Role]],0),MATCH("Per-minute cost",Staff_Costs[#Headers],0))*'Per-Participant ActivitiesArm10'!C18)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ActivitiesArm10'!D19,Staff_Costs[[#All],[Role]],0),MATCH("Per-minute cost",Staff_Costs[#Headers],0))*'Per-Participant ActivitiesArm10'!C19)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ActivitiesArm10'!D20,Staff_Costs[[#All],[Role]],0),MATCH("Per-minute cost",Staff_Costs[#Headers],0))*'Per-Participant ActivitiesArm10'!C20)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ActivitiesArm10'!D21,Staff_Costs[[#All],[Role]],0),MATCH("Per-minute cost",Staff_Costs[#Headers],0))*'Per-Participant ActivitiesArm10'!C21)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ActivitiesArm10'!D22,Staff_Costs[[#All],[Role]],0),MATCH("Per-minute cost",Staff_Costs[#Headers],0))*'Per-Participant ActivitiesArm10'!C22)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ActivitiesArm10'!D23,Staff_Costs[[#All],[Role]],0),MATCH("Per-minute cost",Staff_Costs[#Headers],0))*'Per-Participant ActivitiesArm10'!C23)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ActivitiesArm10'!D24,Staff_Costs[[#All],[Role]],0),MATCH("Per-minute cost",Staff_Costs[#Headers],0))*'Per-Participant ActivitiesArm10'!C24)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ActivitiesArm10'!D25,Staff_Costs[[#All],[Role]],0),MATCH("Per-minute cost",Staff_Costs[#Headers],0))*'Per-Participant ActivitiesArm10'!C25)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ActivitiesArm10'!D26,Staff_Costs[[#All],[Role]],0),MATCH("Per-minute cost",Staff_Costs[#Headers],0))*'Per-Participant ActivitiesArm10'!C26)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ActivitiesArm10'!D27,Staff_Costs[[#All],[Role]],0),MATCH("Per-minute cost",Staff_Costs[#Headers],0))*'Per-Participant ActivitiesArm10'!C27)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ActivitiesArm10'!D28,Staff_Costs[[#All],[Role]],0),MATCH("Per-minute cost",Staff_Costs[#Headers],0))*'Per-Participant ActivitiesArm10'!C28)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ActivitiesArm10'!D29,Staff_Costs[[#All],[Role]],0),MATCH("Per-minute cost",Staff_Costs[#Headers],0))*'Per-Participant ActivitiesArm10'!C29)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ActivitiesArm10'!D30,Staff_Costs[[#All],[Role]],0),MATCH("Per-minute cost",Staff_Costs[#Headers],0))*'Per-Participant ActivitiesArm10'!C30)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ActivitiesArm10'!D31,Staff_Costs[[#All],[Role]],0),MATCH("Per-minute cost",Staff_Costs[#Headers],0))*'Per-Participant ActivitiesArm10'!C31)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ActivitiesArm10'!D32,Staff_Costs[[#All],[Role]],0),MATCH("Per-minute cost",Staff_Costs[#Headers],0))*'Per-Participant ActivitiesArm10'!C32)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ActivitiesArm10'!D33,Staff_Costs[[#All],[Role]],0),MATCH("Per-minute cost",Staff_Costs[#Headers],0))*'Per-Participant ActivitiesArm10'!C33)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ActivitiesArm10'!D34,Staff_Costs[[#All],[Role]],0),MATCH("Per-minute cost",Staff_Costs[#Headers],0))*'Per-Participant ActivitiesArm10'!C34)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ActivitiesArm10'!D35,Staff_Costs[[#All],[Role]],0),MATCH("Per-minute cost",Staff_Costs[#Headers],0))*'Per-Participant ActivitiesArm10'!C35)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ActivitiesArm10'!D36,Staff_Costs[[#All],[Role]],0),MATCH("Per-minute cost",Staff_Costs[#Headers],0))*'Per-Participant ActivitiesArm10'!C36)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ActivitiesArm10'!D37,Staff_Costs[[#All],[Role]],0),MATCH("Per-minute cost",Staff_Costs[#Headers],0))*'Per-Participant ActivitiesArm10'!C37)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ActivitiesArm10'!D38,Staff_Costs[[#All],[Role]],0),MATCH("Per-minute cost",Staff_Costs[#Headers],0))*'Per-Participant ActivitiesArm10'!C38)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ActivitiesArm10'!D39,Staff_Costs[[#All],[Role]],0),MATCH("Per-minute cost",Staff_Costs[#Headers],0))*'Per-Participant ActivitiesArm10'!C39)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ActivitiesArm10'!D40,Staff_Costs[[#All],[Role]],0),MATCH("Per-minute cost",Staff_Costs[#Headers],0))*'Per-Participant ActivitiesArm10'!C40)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ActivitiesArm10'!D41,Staff_Costs[[#All],[Role]],0),MATCH("Per-minute cost",Staff_Costs[#Headers],0))*'Per-Participant ActivitiesArm10'!C41)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ActivitiesArm10'!D42,Staff_Costs[[#All],[Role]],0),MATCH("Per-minute cost",Staff_Costs[#Headers],0))*'Per-Participant ActivitiesArm10'!C42)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ActivitiesArm10'!D43,Staff_Costs[[#All],[Role]],0),MATCH("Per-minute cost",Staff_Costs[#Headers],0))*'Per-Participant ActivitiesArm10'!C43)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ActivitiesArm10'!D44,Staff_Costs[[#All],[Role]],0),MATCH("Per-minute cost",Staff_Costs[#Headers],0))*'Per-Participant ActivitiesArm10'!C44)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ActivitiesArm10'!D45,Staff_Costs[[#All],[Role]],0),MATCH("Per-minute cost",Staff_Costs[#Headers],0))*'Per-Participant ActivitiesArm10'!C45)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ActivitiesArm10'!D46,Staff_Costs[[#All],[Role]],0),MATCH("Per-minute cost",Staff_Costs[#Headers],0))*'Per-Participant ActivitiesArm10'!C46)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ActivitiesArm10'!D47,Staff_Costs[[#All],[Role]],0),MATCH("Per-minute cost",Staff_Costs[#Headers],0))*'Per-Participant ActivitiesArm10'!C47)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ActivitiesArm10'!D48,Staff_Costs[[#All],[Role]],0),MATCH("Per-minute cost",Staff_Costs[#Headers],0))*'Per-Participant ActivitiesArm10'!C48)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ActivitiesArm10'!D49,Staff_Costs[[#All],[Role]],0),MATCH("Per-minute cost",Staff_Costs[#Headers],0))*'Per-Participant ActivitiesArm10'!C49)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ActivitiesArm10'!D50,Staff_Costs[[#All],[Role]],0),MATCH("Per-minute cost",Staff_Costs[#Headers],0))*'Per-Participant ActivitiesArm10'!C50)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ActivitiesArm10'!D51,Staff_Costs[[#All],[Role]],0),MATCH("Per-minute cost",Staff_Costs[#Headers],0))*'Per-Participant ActivitiesArm10'!C51)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ActivitiesArm10'!D52,Staff_Costs[[#All],[Role]],0),MATCH("Per-minute cost",Staff_Costs[#Headers],0))*'Per-Participant ActivitiesArm10'!C52)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ActivitiesArm10'!D53,Staff_Costs[[#All],[Role]],0),MATCH("Per-minute cost",Staff_Costs[#Headers],0))*'Per-Participant ActivitiesArm10'!C53)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ActivitiesArm10'!D54,Staff_Costs[[#All],[Role]],0),MATCH("Per-minute cost",Staff_Costs[#Headers],0))*'Per-Participant ActivitiesArm10'!C54)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ActivitiesArm10'!D55,Staff_Costs[[#All],[Role]],0),MATCH("Per-minute cost",Staff_Costs[#Headers],0))*'Per-Participant ActivitiesArm10'!C55)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ActivitiesArm10'!D56,Staff_Costs[[#All],[Role]],0),MATCH("Per-minute cost",Staff_Costs[#Headers],0))*'Per-Participant ActivitiesArm10'!C56)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ActivitiesArm10'!D57,Staff_Costs[[#All],[Role]],0),MATCH("Per-minute cost",Staff_Costs[#Headers],0))*'Per-Participant ActivitiesArm10'!C57)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ActivitiesArm10'!D58,Staff_Costs[[#All],[Role]],0),MATCH("Per-minute cost",Staff_Costs[#Headers],0))*'Per-Participant ActivitiesArm10'!C58)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ActivitiesArm10'!D59,Staff_Costs[[#All],[Role]],0),MATCH("Per-minute cost",Staff_Costs[#Headers],0))*'Per-Participant ActivitiesArm10'!C59)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ActivitiesArm10'!D60,Staff_Costs[[#All],[Role]],0),MATCH("Per-minute cost",Staff_Costs[#Headers],0))*'Per-Participant ActivitiesArm10'!C60)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ActivitiesArm10'!D61,Staff_Costs[[#All],[Role]],0),MATCH("Per-minute cost",Staff_Costs[#Headers],0))*'Per-Participant ActivitiesArm10'!C61)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ActivitiesArm10'!D62,Staff_Costs[[#All],[Role]],0),MATCH("Per-minute cost",Staff_Costs[#Headers],0))*'Per-Participant ActivitiesArm10'!C62)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ActivitiesArm10'!D63,Staff_Costs[[#All],[Role]],0),MATCH("Per-minute cost",Staff_Costs[#Headers],0))*'Per-Participant ActivitiesArm10'!C63)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ActivitiesArm10'!D64,Staff_Costs[[#All],[Role]],0),MATCH("Per-minute cost",Staff_Costs[#Headers],0))*'Per-Participant ActivitiesArm10'!C64)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ActivitiesArm10'!D65,Staff_Costs[[#All],[Role]],0),MATCH("Per-minute cost",Staff_Costs[#Headers],0))*'Per-Participant ActivitiesArm10'!C65)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ActivitiesArm10'!D66,Staff_Costs[[#All],[Role]],0),MATCH("Per-minute cost",Staff_Costs[#Headers],0))*'Per-Participant ActivitiesArm10'!C66)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ActivitiesArm10'!D67,Staff_Costs[[#All],[Role]],0),MATCH("Per-minute cost",Staff_Costs[#Headers],0))*'Per-Participant ActivitiesArm10'!C67)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ActivitiesArm10'!D68,Staff_Costs[[#All],[Role]],0),MATCH("Per-minute cost",Staff_Costs[#Headers],0))*'Per-Participant ActivitiesArm10'!C68)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ActivitiesArm10'!D69,Staff_Costs[[#All],[Role]],0),MATCH("Per-minute cost",Staff_Costs[#Headers],0))*'Per-Participant ActivitiesArm10'!C69)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ActivitiesArm10'!D70,Staff_Costs[[#All],[Role]],0),MATCH("Per-minute cost",Staff_Costs[#Headers],0))*'Per-Participant ActivitiesArm10'!C70)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ActivitiesArm10'!D71,Staff_Costs[[#All],[Role]],0),MATCH("Per-minute cost",Staff_Costs[#Headers],0))*'Per-Participant ActivitiesArm10'!C71)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ActivitiesArm10'!D72,Staff_Costs[[#All],[Role]],0),MATCH("Per-minute cost",Staff_Costs[#Headers],0))*'Per-Participant ActivitiesArm10'!C72)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ActivitiesArm10'!D73,Staff_Costs[[#All],[Role]],0),MATCH("Per-minute cost",Staff_Costs[#Headers],0))*'Per-Participant ActivitiesArm10'!C73)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ActivitiesArm10'!D74,Staff_Costs[[#All],[Role]],0),MATCH("Per-minute cost",Staff_Costs[#Headers],0))*'Per-Participant ActivitiesArm10'!C74)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ActivitiesArm10'!D75,Staff_Costs[[#All],[Role]],0),MATCH("Per-minute cost",Staff_Costs[#Headers],0))*'Per-Participant ActivitiesArm10'!C75)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ActivitiesArm10'!D76,Staff_Costs[[#All],[Role]],0),MATCH("Per-minute cost",Staff_Costs[#Headers],0))*'Per-Participant ActivitiesArm10'!C76)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ActivitiesArm10'!D77,Staff_Costs[[#All],[Role]],0),MATCH("Per-minute cost",Staff_Costs[#Headers],0))*'Per-Participant ActivitiesArm10'!C77)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ActivitiesArm10'!D78,Staff_Costs[[#All],[Role]],0),MATCH("Per-minute cost",Staff_Costs[#Headers],0))*'Per-Participant ActivitiesArm10'!C78)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ActivitiesArm10'!D79,Staff_Costs[[#All],[Role]],0),MATCH("Per-minute cost",Staff_Costs[#Headers],0))*'Per-Participant ActivitiesArm10'!C79)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ActivitiesArm10'!D80,Staff_Costs[[#All],[Role]],0),MATCH("Per-minute cost",Staff_Costs[#Headers],0))*'Per-Participant ActivitiesArm10'!C80)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ActivitiesArm10'!D81,Staff_Costs[[#All],[Role]],0),MATCH("Per-minute cost",Staff_Costs[#Headers],0))*'Per-Participant ActivitiesArm10'!C81)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ActivitiesArm10'!D82,Staff_Costs[[#All],[Role]],0),MATCH("Per-minute cost",Staff_Costs[#Headers],0))*'Per-Participant ActivitiesArm10'!C82)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ActivitiesArm10'!D83,Staff_Costs[[#All],[Role]],0),MATCH("Per-minute cost",Staff_Costs[#Headers],0))*'Per-Participant ActivitiesArm10'!C83)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ActivitiesArm10'!D84,Staff_Costs[[#All],[Role]],0),MATCH("Per-minute cost",Staff_Costs[#Headers],0))*'Per-Participant ActivitiesArm10'!C84)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ActivitiesArm10'!D85,Staff_Costs[[#All],[Role]],0),MATCH("Per-minute cost",Staff_Costs[#Headers],0))*'Per-Participant ActivitiesArm10'!C85)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ActivitiesArm10'!D86,Staff_Costs[[#All],[Role]],0),MATCH("Per-minute cost",Staff_Costs[#Headers],0))*'Per-Participant ActivitiesArm10'!C86)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ActivitiesArm10'!D87,Staff_Costs[[#All],[Role]],0),MATCH("Per-minute cost",Staff_Costs[#Headers],0))*'Per-Participant ActivitiesArm10'!C87)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ActivitiesArm10'!D88,Staff_Costs[[#All],[Role]],0),MATCH("Per-minute cost",Staff_Costs[#Headers],0))*'Per-Participant ActivitiesArm10'!C88)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ActivitiesArm10'!D89,Staff_Costs[[#All],[Role]],0),MATCH("Per-minute cost",Staff_Costs[#Headers],0))*'Per-Participant ActivitiesArm10'!C89)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ActivitiesArm10'!D90,Staff_Costs[[#All],[Role]],0),MATCH("Per-minute cost",Staff_Costs[#Headers],0))*'Per-Participant ActivitiesArm10'!C90)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ActivitiesArm10'!D91,Staff_Costs[[#All],[Role]],0),MATCH("Per-minute cost",Staff_Costs[#Headers],0))*'Per-Participant ActivitiesArm10'!C91)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ActivitiesArm10'!D92,Staff_Costs[[#All],[Role]],0),MATCH("Per-minute cost",Staff_Costs[#Headers],0))*'Per-Participant ActivitiesArm10'!C92)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ActivitiesArm10'!D93,Staff_Costs[[#All],[Role]],0),MATCH("Per-minute cost",Staff_Costs[#Headers],0))*'Per-Participant ActivitiesArm10'!C93)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ActivitiesArm10'!D94,Staff_Costs[[#All],[Role]],0),MATCH("Per-minute cost",Staff_Costs[#Headers],0))*'Per-Participant ActivitiesArm10'!C94)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ActivitiesArm10'!D95,Staff_Costs[[#All],[Role]],0),MATCH("Per-minute cost",Staff_Costs[#Headers],0))*'Per-Participant ActivitiesArm10'!C95)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ActivitiesArm10'!D96,Staff_Costs[[#All],[Role]],0),MATCH("Per-minute cost",Staff_Costs[#Headers],0))*'Per-Participant ActivitiesArm10'!C96)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ActivitiesArm10'!D97,Staff_Costs[[#All],[Role]],0),MATCH("Per-minute cost",Staff_Costs[#Headers],0))*'Per-Participant ActivitiesArm10'!C97)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ActivitiesArm10'!D98,Staff_Costs[[#All],[Role]],0),MATCH("Per-minute cost",Staff_Costs[#Headers],0))*'Per-Participant ActivitiesArm10'!C98)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ActivitiesArm10'!D99,Staff_Costs[[#All],[Role]],0),MATCH("Per-minute cost",Staff_Costs[#Headers],0))*'Per-Participant ActivitiesArm10'!C99)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ActivitiesArm10'!D100,Staff_Costs[[#All],[Role]],0),MATCH("Per-minute cost",Staff_Costs[#Headers],0))*'Per-Participant ActivitiesArm10'!C100)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ActivitiesArm10'!D101,Staff_Costs[[#All],[Role]],0),MATCH("Per-minute cost",Staff_Costs[#Headers],0))*'Per-Participant ActivitiesArm10'!C101)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ActivitiesArm10'!D102,Staff_Costs[[#All],[Role]],0),MATCH("Per-minute cost",Staff_Costs[#Headers],0))*'Per-Participant ActivitiesArm10'!C102)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ActivitiesArm10'!D103,Staff_Costs[[#All],[Role]],0),MATCH("Per-minute cost",Staff_Costs[#Headers],0))*'Per-Participant ActivitiesArm10'!C103)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ActivitiesArm10'!D104,Staff_Costs[[#All],[Role]],0),MATCH("Per-minute cost",Staff_Costs[#Headers],0))*'Per-Participant ActivitiesArm10'!C104)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ActivitiesArm10'!D105,Staff_Costs[[#All],[Role]],0),MATCH("Per-minute cost",Staff_Costs[#Headers],0))*'Per-Participant ActivitiesArm10'!C105)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ActivitiesArm10'!D106,Staff_Costs[[#All],[Role]],0),MATCH("Per-minute cost",Staff_Costs[#Headers],0))*'Per-Participant ActivitiesArm10'!C106)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ActivitiesArm10'!D107,Staff_Costs[[#All],[Role]],0),MATCH("Per-minute cost",Staff_Costs[#Headers],0))*'Per-Participant ActivitiesArm10'!C107)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ActivitiesArm10'!D108,Staff_Costs[[#All],[Role]],0),MATCH("Per-minute cost",Staff_Costs[#Headers],0))*'Per-Participant ActivitiesArm10'!C108)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ActivitiesArm10'!D109,Staff_Costs[[#All],[Role]],0),MATCH("Per-minute cost",Staff_Costs[#Headers],0))*'Per-Participant ActivitiesArm10'!C109)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ActivitiesArm10'!D110,Staff_Costs[[#All],[Role]],0),MATCH("Per-minute cost",Staff_Costs[#Headers],0))*'Per-Participant ActivitiesArm10'!C110)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BP7Rq3XMFr2lQdvf2iZUsqx4c0hCU62kPQluf+KPc7xXnL9zpaRpk9cGlOTepRO4gTMlKcap2uQowpc04Su0HA==" saltValue="FCxr449gdXUnnC/tZ/3g7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16" priority="3">
      <formula>IF($AO10="investigation",TRUE,FALSE)</formula>
    </cfRule>
  </conditionalFormatting>
  <conditionalFormatting sqref="C11">
    <cfRule type="expression" dxfId="315" priority="2">
      <formula>IF($AO11="investigation",TRUE,FALSE)</formula>
    </cfRule>
  </conditionalFormatting>
  <conditionalFormatting sqref="C65:C110">
    <cfRule type="expression" dxfId="314"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628</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ActivitiesArm11'!D10,Staff_Costs[[#All],[Role]],0),MATCH("Per-minute cost",Staff_Costs[#Headers],0))*'Per-Participant ActivitiesArm11'!C10)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ActivitiesArm11'!D11,Staff_Costs[[#All],[Role]],0),MATCH("Per-minute cost",Staff_Costs[#Headers],0))*'Per-Participant ActivitiesArm11'!C11)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ActivitiesArm11'!D12,Staff_Costs[[#All],[Role]],0),MATCH("Per-minute cost",Staff_Costs[#Headers],0))*'Per-Participant ActivitiesArm11'!C12)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ActivitiesArm11'!D13,Staff_Costs[[#All],[Role]],0),MATCH("Per-minute cost",Staff_Costs[#Headers],0))*'Per-Participant ActivitiesArm11'!C13)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ActivitiesArm11'!D14,Staff_Costs[[#All],[Role]],0),MATCH("Per-minute cost",Staff_Costs[#Headers],0))*'Per-Participant ActivitiesArm11'!C14)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ActivitiesArm11'!D15,Staff_Costs[[#All],[Role]],0),MATCH("Per-minute cost",Staff_Costs[#Headers],0))*'Per-Participant ActivitiesArm11'!C15)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ActivitiesArm11'!D16,Staff_Costs[[#All],[Role]],0),MATCH("Per-minute cost",Staff_Costs[#Headers],0))*'Per-Participant ActivitiesArm11'!C16)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ActivitiesArm11'!D17,Staff_Costs[[#All],[Role]],0),MATCH("Per-minute cost",Staff_Costs[#Headers],0))*'Per-Participant ActivitiesArm11'!C17)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ActivitiesArm11'!D18,Staff_Costs[[#All],[Role]],0),MATCH("Per-minute cost",Staff_Costs[#Headers],0))*'Per-Participant ActivitiesArm11'!C18)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ActivitiesArm11'!D19,Staff_Costs[[#All],[Role]],0),MATCH("Per-minute cost",Staff_Costs[#Headers],0))*'Per-Participant ActivitiesArm11'!C19)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ActivitiesArm11'!D20,Staff_Costs[[#All],[Role]],0),MATCH("Per-minute cost",Staff_Costs[#Headers],0))*'Per-Participant ActivitiesArm11'!C20)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ActivitiesArm11'!D21,Staff_Costs[[#All],[Role]],0),MATCH("Per-minute cost",Staff_Costs[#Headers],0))*'Per-Participant ActivitiesArm11'!C21)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ActivitiesArm11'!D22,Staff_Costs[[#All],[Role]],0),MATCH("Per-minute cost",Staff_Costs[#Headers],0))*'Per-Participant ActivitiesArm11'!C22)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ActivitiesArm11'!D23,Staff_Costs[[#All],[Role]],0),MATCH("Per-minute cost",Staff_Costs[#Headers],0))*'Per-Participant ActivitiesArm11'!C23)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ActivitiesArm11'!D24,Staff_Costs[[#All],[Role]],0),MATCH("Per-minute cost",Staff_Costs[#Headers],0))*'Per-Participant ActivitiesArm11'!C24)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ActivitiesArm11'!D25,Staff_Costs[[#All],[Role]],0),MATCH("Per-minute cost",Staff_Costs[#Headers],0))*'Per-Participant ActivitiesArm11'!C25)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ActivitiesArm11'!D26,Staff_Costs[[#All],[Role]],0),MATCH("Per-minute cost",Staff_Costs[#Headers],0))*'Per-Participant ActivitiesArm11'!C26)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ActivitiesArm11'!D27,Staff_Costs[[#All],[Role]],0),MATCH("Per-minute cost",Staff_Costs[#Headers],0))*'Per-Participant ActivitiesArm11'!C27)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ActivitiesArm11'!D28,Staff_Costs[[#All],[Role]],0),MATCH("Per-minute cost",Staff_Costs[#Headers],0))*'Per-Participant ActivitiesArm11'!C28)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ActivitiesArm11'!D29,Staff_Costs[[#All],[Role]],0),MATCH("Per-minute cost",Staff_Costs[#Headers],0))*'Per-Participant ActivitiesArm11'!C29)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ActivitiesArm11'!D30,Staff_Costs[[#All],[Role]],0),MATCH("Per-minute cost",Staff_Costs[#Headers],0))*'Per-Participant ActivitiesArm11'!C30)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ActivitiesArm11'!D31,Staff_Costs[[#All],[Role]],0),MATCH("Per-minute cost",Staff_Costs[#Headers],0))*'Per-Participant ActivitiesArm11'!C31)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ActivitiesArm11'!D32,Staff_Costs[[#All],[Role]],0),MATCH("Per-minute cost",Staff_Costs[#Headers],0))*'Per-Participant ActivitiesArm11'!C32)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ActivitiesArm11'!D33,Staff_Costs[[#All],[Role]],0),MATCH("Per-minute cost",Staff_Costs[#Headers],0))*'Per-Participant ActivitiesArm11'!C33)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ActivitiesArm11'!D34,Staff_Costs[[#All],[Role]],0),MATCH("Per-minute cost",Staff_Costs[#Headers],0))*'Per-Participant ActivitiesArm11'!C34)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ActivitiesArm11'!D35,Staff_Costs[[#All],[Role]],0),MATCH("Per-minute cost",Staff_Costs[#Headers],0))*'Per-Participant ActivitiesArm11'!C35)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ActivitiesArm11'!D36,Staff_Costs[[#All],[Role]],0),MATCH("Per-minute cost",Staff_Costs[#Headers],0))*'Per-Participant ActivitiesArm11'!C36)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ActivitiesArm11'!D37,Staff_Costs[[#All],[Role]],0),MATCH("Per-minute cost",Staff_Costs[#Headers],0))*'Per-Participant ActivitiesArm11'!C37)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ActivitiesArm11'!D38,Staff_Costs[[#All],[Role]],0),MATCH("Per-minute cost",Staff_Costs[#Headers],0))*'Per-Participant ActivitiesArm11'!C38)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ActivitiesArm11'!D39,Staff_Costs[[#All],[Role]],0),MATCH("Per-minute cost",Staff_Costs[#Headers],0))*'Per-Participant ActivitiesArm11'!C39)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ActivitiesArm11'!D40,Staff_Costs[[#All],[Role]],0),MATCH("Per-minute cost",Staff_Costs[#Headers],0))*'Per-Participant ActivitiesArm11'!C40)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ActivitiesArm11'!D41,Staff_Costs[[#All],[Role]],0),MATCH("Per-minute cost",Staff_Costs[#Headers],0))*'Per-Participant ActivitiesArm11'!C41)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ActivitiesArm11'!D42,Staff_Costs[[#All],[Role]],0),MATCH("Per-minute cost",Staff_Costs[#Headers],0))*'Per-Participant ActivitiesArm11'!C42)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ActivitiesArm11'!D43,Staff_Costs[[#All],[Role]],0),MATCH("Per-minute cost",Staff_Costs[#Headers],0))*'Per-Participant ActivitiesArm11'!C43)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ActivitiesArm11'!D44,Staff_Costs[[#All],[Role]],0),MATCH("Per-minute cost",Staff_Costs[#Headers],0))*'Per-Participant ActivitiesArm11'!C44)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ActivitiesArm11'!D45,Staff_Costs[[#All],[Role]],0),MATCH("Per-minute cost",Staff_Costs[#Headers],0))*'Per-Participant ActivitiesArm11'!C45)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ActivitiesArm11'!D46,Staff_Costs[[#All],[Role]],0),MATCH("Per-minute cost",Staff_Costs[#Headers],0))*'Per-Participant ActivitiesArm11'!C46)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ActivitiesArm11'!D47,Staff_Costs[[#All],[Role]],0),MATCH("Per-minute cost",Staff_Costs[#Headers],0))*'Per-Participant ActivitiesArm11'!C47)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ActivitiesArm11'!D48,Staff_Costs[[#All],[Role]],0),MATCH("Per-minute cost",Staff_Costs[#Headers],0))*'Per-Participant ActivitiesArm11'!C48)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ActivitiesArm11'!D49,Staff_Costs[[#All],[Role]],0),MATCH("Per-minute cost",Staff_Costs[#Headers],0))*'Per-Participant ActivitiesArm11'!C49)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ActivitiesArm11'!D50,Staff_Costs[[#All],[Role]],0),MATCH("Per-minute cost",Staff_Costs[#Headers],0))*'Per-Participant ActivitiesArm11'!C50)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ActivitiesArm11'!D51,Staff_Costs[[#All],[Role]],0),MATCH("Per-minute cost",Staff_Costs[#Headers],0))*'Per-Participant ActivitiesArm11'!C51)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ActivitiesArm11'!D52,Staff_Costs[[#All],[Role]],0),MATCH("Per-minute cost",Staff_Costs[#Headers],0))*'Per-Participant ActivitiesArm11'!C52)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ActivitiesArm11'!D53,Staff_Costs[[#All],[Role]],0),MATCH("Per-minute cost",Staff_Costs[#Headers],0))*'Per-Participant ActivitiesArm11'!C53)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ActivitiesArm11'!D54,Staff_Costs[[#All],[Role]],0),MATCH("Per-minute cost",Staff_Costs[#Headers],0))*'Per-Participant ActivitiesArm11'!C54)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ActivitiesArm11'!D55,Staff_Costs[[#All],[Role]],0),MATCH("Per-minute cost",Staff_Costs[#Headers],0))*'Per-Participant ActivitiesArm11'!C55)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ActivitiesArm11'!D56,Staff_Costs[[#All],[Role]],0),MATCH("Per-minute cost",Staff_Costs[#Headers],0))*'Per-Participant ActivitiesArm11'!C56)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ActivitiesArm11'!D57,Staff_Costs[[#All],[Role]],0),MATCH("Per-minute cost",Staff_Costs[#Headers],0))*'Per-Participant ActivitiesArm11'!C57)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ActivitiesArm11'!D58,Staff_Costs[[#All],[Role]],0),MATCH("Per-minute cost",Staff_Costs[#Headers],0))*'Per-Participant ActivitiesArm11'!C58)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ActivitiesArm11'!D59,Staff_Costs[[#All],[Role]],0),MATCH("Per-minute cost",Staff_Costs[#Headers],0))*'Per-Participant ActivitiesArm11'!C59)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ActivitiesArm11'!D60,Staff_Costs[[#All],[Role]],0),MATCH("Per-minute cost",Staff_Costs[#Headers],0))*'Per-Participant ActivitiesArm11'!C60)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ActivitiesArm11'!D61,Staff_Costs[[#All],[Role]],0),MATCH("Per-minute cost",Staff_Costs[#Headers],0))*'Per-Participant ActivitiesArm11'!C61)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ActivitiesArm11'!D62,Staff_Costs[[#All],[Role]],0),MATCH("Per-minute cost",Staff_Costs[#Headers],0))*'Per-Participant ActivitiesArm11'!C62)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ActivitiesArm11'!D63,Staff_Costs[[#All],[Role]],0),MATCH("Per-minute cost",Staff_Costs[#Headers],0))*'Per-Participant ActivitiesArm11'!C63)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ActivitiesArm11'!D64,Staff_Costs[[#All],[Role]],0),MATCH("Per-minute cost",Staff_Costs[#Headers],0))*'Per-Participant ActivitiesArm11'!C64)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ActivitiesArm11'!D65,Staff_Costs[[#All],[Role]],0),MATCH("Per-minute cost",Staff_Costs[#Headers],0))*'Per-Participant ActivitiesArm11'!C65)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ActivitiesArm11'!D66,Staff_Costs[[#All],[Role]],0),MATCH("Per-minute cost",Staff_Costs[#Headers],0))*'Per-Participant ActivitiesArm11'!C66)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ActivitiesArm11'!D67,Staff_Costs[[#All],[Role]],0),MATCH("Per-minute cost",Staff_Costs[#Headers],0))*'Per-Participant ActivitiesArm11'!C67)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ActivitiesArm11'!D68,Staff_Costs[[#All],[Role]],0),MATCH("Per-minute cost",Staff_Costs[#Headers],0))*'Per-Participant ActivitiesArm11'!C68)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ActivitiesArm11'!D69,Staff_Costs[[#All],[Role]],0),MATCH("Per-minute cost",Staff_Costs[#Headers],0))*'Per-Participant ActivitiesArm11'!C69)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ActivitiesArm11'!D70,Staff_Costs[[#All],[Role]],0),MATCH("Per-minute cost",Staff_Costs[#Headers],0))*'Per-Participant ActivitiesArm11'!C70)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ActivitiesArm11'!D71,Staff_Costs[[#All],[Role]],0),MATCH("Per-minute cost",Staff_Costs[#Headers],0))*'Per-Participant ActivitiesArm11'!C71)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ActivitiesArm11'!D72,Staff_Costs[[#All],[Role]],0),MATCH("Per-minute cost",Staff_Costs[#Headers],0))*'Per-Participant ActivitiesArm11'!C72)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ActivitiesArm11'!D73,Staff_Costs[[#All],[Role]],0),MATCH("Per-minute cost",Staff_Costs[#Headers],0))*'Per-Participant ActivitiesArm11'!C73)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ActivitiesArm11'!D74,Staff_Costs[[#All],[Role]],0),MATCH("Per-minute cost",Staff_Costs[#Headers],0))*'Per-Participant ActivitiesArm11'!C74)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ActivitiesArm11'!D75,Staff_Costs[[#All],[Role]],0),MATCH("Per-minute cost",Staff_Costs[#Headers],0))*'Per-Participant ActivitiesArm11'!C75)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ActivitiesArm11'!D76,Staff_Costs[[#All],[Role]],0),MATCH("Per-minute cost",Staff_Costs[#Headers],0))*'Per-Participant ActivitiesArm11'!C76)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ActivitiesArm11'!D77,Staff_Costs[[#All],[Role]],0),MATCH("Per-minute cost",Staff_Costs[#Headers],0))*'Per-Participant ActivitiesArm11'!C77)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ActivitiesArm11'!D78,Staff_Costs[[#All],[Role]],0),MATCH("Per-minute cost",Staff_Costs[#Headers],0))*'Per-Participant ActivitiesArm11'!C78)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ActivitiesArm11'!D79,Staff_Costs[[#All],[Role]],0),MATCH("Per-minute cost",Staff_Costs[#Headers],0))*'Per-Participant ActivitiesArm11'!C79)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ActivitiesArm11'!D80,Staff_Costs[[#All],[Role]],0),MATCH("Per-minute cost",Staff_Costs[#Headers],0))*'Per-Participant ActivitiesArm11'!C80)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ActivitiesArm11'!D81,Staff_Costs[[#All],[Role]],0),MATCH("Per-minute cost",Staff_Costs[#Headers],0))*'Per-Participant ActivitiesArm11'!C81)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ActivitiesArm11'!D82,Staff_Costs[[#All],[Role]],0),MATCH("Per-minute cost",Staff_Costs[#Headers],0))*'Per-Participant ActivitiesArm11'!C82)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ActivitiesArm11'!D83,Staff_Costs[[#All],[Role]],0),MATCH("Per-minute cost",Staff_Costs[#Headers],0))*'Per-Participant ActivitiesArm11'!C83)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ActivitiesArm11'!D84,Staff_Costs[[#All],[Role]],0),MATCH("Per-minute cost",Staff_Costs[#Headers],0))*'Per-Participant ActivitiesArm11'!C84)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ActivitiesArm11'!D85,Staff_Costs[[#All],[Role]],0),MATCH("Per-minute cost",Staff_Costs[#Headers],0))*'Per-Participant ActivitiesArm11'!C85)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ActivitiesArm11'!D86,Staff_Costs[[#All],[Role]],0),MATCH("Per-minute cost",Staff_Costs[#Headers],0))*'Per-Participant ActivitiesArm11'!C86)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ActivitiesArm11'!D87,Staff_Costs[[#All],[Role]],0),MATCH("Per-minute cost",Staff_Costs[#Headers],0))*'Per-Participant ActivitiesArm11'!C87)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ActivitiesArm11'!D88,Staff_Costs[[#All],[Role]],0),MATCH("Per-minute cost",Staff_Costs[#Headers],0))*'Per-Participant ActivitiesArm11'!C88)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ActivitiesArm11'!D89,Staff_Costs[[#All],[Role]],0),MATCH("Per-minute cost",Staff_Costs[#Headers],0))*'Per-Participant ActivitiesArm11'!C89)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ActivitiesArm11'!D90,Staff_Costs[[#All],[Role]],0),MATCH("Per-minute cost",Staff_Costs[#Headers],0))*'Per-Participant ActivitiesArm11'!C90)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ActivitiesArm11'!D91,Staff_Costs[[#All],[Role]],0),MATCH("Per-minute cost",Staff_Costs[#Headers],0))*'Per-Participant ActivitiesArm11'!C91)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ActivitiesArm11'!D92,Staff_Costs[[#All],[Role]],0),MATCH("Per-minute cost",Staff_Costs[#Headers],0))*'Per-Participant ActivitiesArm11'!C92)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ActivitiesArm11'!D93,Staff_Costs[[#All],[Role]],0),MATCH("Per-minute cost",Staff_Costs[#Headers],0))*'Per-Participant ActivitiesArm11'!C93)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ActivitiesArm11'!D94,Staff_Costs[[#All],[Role]],0),MATCH("Per-minute cost",Staff_Costs[#Headers],0))*'Per-Participant ActivitiesArm11'!C94)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ActivitiesArm11'!D95,Staff_Costs[[#All],[Role]],0),MATCH("Per-minute cost",Staff_Costs[#Headers],0))*'Per-Participant ActivitiesArm11'!C95)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ActivitiesArm11'!D96,Staff_Costs[[#All],[Role]],0),MATCH("Per-minute cost",Staff_Costs[#Headers],0))*'Per-Participant ActivitiesArm11'!C96)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ActivitiesArm11'!D97,Staff_Costs[[#All],[Role]],0),MATCH("Per-minute cost",Staff_Costs[#Headers],0))*'Per-Participant ActivitiesArm11'!C97)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ActivitiesArm11'!D98,Staff_Costs[[#All],[Role]],0),MATCH("Per-minute cost",Staff_Costs[#Headers],0))*'Per-Participant ActivitiesArm11'!C98)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ActivitiesArm11'!D99,Staff_Costs[[#All],[Role]],0),MATCH("Per-minute cost",Staff_Costs[#Headers],0))*'Per-Participant ActivitiesArm11'!C99)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ActivitiesArm11'!D100,Staff_Costs[[#All],[Role]],0),MATCH("Per-minute cost",Staff_Costs[#Headers],0))*'Per-Participant ActivitiesArm11'!C100)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ActivitiesArm11'!D101,Staff_Costs[[#All],[Role]],0),MATCH("Per-minute cost",Staff_Costs[#Headers],0))*'Per-Participant ActivitiesArm11'!C101)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ActivitiesArm11'!D102,Staff_Costs[[#All],[Role]],0),MATCH("Per-minute cost",Staff_Costs[#Headers],0))*'Per-Participant ActivitiesArm11'!C102)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ActivitiesArm11'!D103,Staff_Costs[[#All],[Role]],0),MATCH("Per-minute cost",Staff_Costs[#Headers],0))*'Per-Participant ActivitiesArm11'!C103)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ActivitiesArm11'!D104,Staff_Costs[[#All],[Role]],0),MATCH("Per-minute cost",Staff_Costs[#Headers],0))*'Per-Participant ActivitiesArm11'!C104)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ActivitiesArm11'!D105,Staff_Costs[[#All],[Role]],0),MATCH("Per-minute cost",Staff_Costs[#Headers],0))*'Per-Participant ActivitiesArm11'!C105)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ActivitiesArm11'!D106,Staff_Costs[[#All],[Role]],0),MATCH("Per-minute cost",Staff_Costs[#Headers],0))*'Per-Participant ActivitiesArm11'!C106)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ActivitiesArm11'!D107,Staff_Costs[[#All],[Role]],0),MATCH("Per-minute cost",Staff_Costs[#Headers],0))*'Per-Participant ActivitiesArm11'!C107)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ActivitiesArm11'!D108,Staff_Costs[[#All],[Role]],0),MATCH("Per-minute cost",Staff_Costs[#Headers],0))*'Per-Participant ActivitiesArm11'!C108)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ActivitiesArm11'!D109,Staff_Costs[[#All],[Role]],0),MATCH("Per-minute cost",Staff_Costs[#Headers],0))*'Per-Participant ActivitiesArm11'!C109)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ActivitiesArm11'!D110,Staff_Costs[[#All],[Role]],0),MATCH("Per-minute cost",Staff_Costs[#Headers],0))*'Per-Participant ActivitiesArm11'!C110)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AbwVyMyPI9JECmuUCSL78qqtyPc9e0YJuePfCEb/4e16otkbjBk1BPXu8h4uN9hMnTYYXsqjSI6eJ8UA7HznlQ==" saltValue="/HsTrqrZEOECNEjfvxkec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69" priority="3">
      <formula>IF($AO10="investigation",TRUE,FALSE)</formula>
    </cfRule>
  </conditionalFormatting>
  <conditionalFormatting sqref="C11">
    <cfRule type="expression" dxfId="268" priority="2">
      <formula>IF($AO11="investigation",TRUE,FALSE)</formula>
    </cfRule>
  </conditionalFormatting>
  <conditionalFormatting sqref="C65:C110">
    <cfRule type="expression" dxfId="267"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673</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ActivitiesArm12'!D10,Staff_Costs[[#All],[Role]],0),MATCH("Per-minute cost",Staff_Costs[#Headers],0))*'Per-Participant ActivitiesArm12'!C10)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ActivitiesArm12'!D11,Staff_Costs[[#All],[Role]],0),MATCH("Per-minute cost",Staff_Costs[#Headers],0))*'Per-Participant ActivitiesArm12'!C11)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ActivitiesArm12'!D12,Staff_Costs[[#All],[Role]],0),MATCH("Per-minute cost",Staff_Costs[#Headers],0))*'Per-Participant ActivitiesArm12'!C12)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ActivitiesArm12'!D13,Staff_Costs[[#All],[Role]],0),MATCH("Per-minute cost",Staff_Costs[#Headers],0))*'Per-Participant ActivitiesArm12'!C13)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ActivitiesArm12'!D14,Staff_Costs[[#All],[Role]],0),MATCH("Per-minute cost",Staff_Costs[#Headers],0))*'Per-Participant ActivitiesArm12'!C14)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ActivitiesArm12'!D15,Staff_Costs[[#All],[Role]],0),MATCH("Per-minute cost",Staff_Costs[#Headers],0))*'Per-Participant ActivitiesArm12'!C15)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ActivitiesArm12'!D16,Staff_Costs[[#All],[Role]],0),MATCH("Per-minute cost",Staff_Costs[#Headers],0))*'Per-Participant ActivitiesArm12'!C16)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ActivitiesArm12'!D17,Staff_Costs[[#All],[Role]],0),MATCH("Per-minute cost",Staff_Costs[#Headers],0))*'Per-Participant ActivitiesArm12'!C17)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ActivitiesArm12'!D18,Staff_Costs[[#All],[Role]],0),MATCH("Per-minute cost",Staff_Costs[#Headers],0))*'Per-Participant ActivitiesArm12'!C18)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ActivitiesArm12'!D19,Staff_Costs[[#All],[Role]],0),MATCH("Per-minute cost",Staff_Costs[#Headers],0))*'Per-Participant ActivitiesArm12'!C19)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ActivitiesArm12'!D20,Staff_Costs[[#All],[Role]],0),MATCH("Per-minute cost",Staff_Costs[#Headers],0))*'Per-Participant ActivitiesArm12'!C20)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ActivitiesArm12'!D21,Staff_Costs[[#All],[Role]],0),MATCH("Per-minute cost",Staff_Costs[#Headers],0))*'Per-Participant ActivitiesArm12'!C21)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ActivitiesArm12'!D22,Staff_Costs[[#All],[Role]],0),MATCH("Per-minute cost",Staff_Costs[#Headers],0))*'Per-Participant ActivitiesArm12'!C22)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ActivitiesArm12'!D23,Staff_Costs[[#All],[Role]],0),MATCH("Per-minute cost",Staff_Costs[#Headers],0))*'Per-Participant ActivitiesArm12'!C23)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ActivitiesArm12'!D24,Staff_Costs[[#All],[Role]],0),MATCH("Per-minute cost",Staff_Costs[#Headers],0))*'Per-Participant ActivitiesArm12'!C24)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ActivitiesArm12'!D25,Staff_Costs[[#All],[Role]],0),MATCH("Per-minute cost",Staff_Costs[#Headers],0))*'Per-Participant ActivitiesArm12'!C25)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ActivitiesArm12'!D26,Staff_Costs[[#All],[Role]],0),MATCH("Per-minute cost",Staff_Costs[#Headers],0))*'Per-Participant ActivitiesArm12'!C26)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ActivitiesArm12'!D27,Staff_Costs[[#All],[Role]],0),MATCH("Per-minute cost",Staff_Costs[#Headers],0))*'Per-Participant ActivitiesArm12'!C27)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ActivitiesArm12'!D28,Staff_Costs[[#All],[Role]],0),MATCH("Per-minute cost",Staff_Costs[#Headers],0))*'Per-Participant ActivitiesArm12'!C28)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ActivitiesArm12'!D29,Staff_Costs[[#All],[Role]],0),MATCH("Per-minute cost",Staff_Costs[#Headers],0))*'Per-Participant ActivitiesArm12'!C29)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ActivitiesArm12'!D30,Staff_Costs[[#All],[Role]],0),MATCH("Per-minute cost",Staff_Costs[#Headers],0))*'Per-Participant ActivitiesArm12'!C30)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ActivitiesArm12'!D31,Staff_Costs[[#All],[Role]],0),MATCH("Per-minute cost",Staff_Costs[#Headers],0))*'Per-Participant ActivitiesArm12'!C31)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ActivitiesArm12'!D32,Staff_Costs[[#All],[Role]],0),MATCH("Per-minute cost",Staff_Costs[#Headers],0))*'Per-Participant ActivitiesArm12'!C32)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ActivitiesArm12'!D33,Staff_Costs[[#All],[Role]],0),MATCH("Per-minute cost",Staff_Costs[#Headers],0))*'Per-Participant ActivitiesArm12'!C33)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ActivitiesArm12'!D34,Staff_Costs[[#All],[Role]],0),MATCH("Per-minute cost",Staff_Costs[#Headers],0))*'Per-Participant ActivitiesArm12'!C34)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ActivitiesArm12'!D35,Staff_Costs[[#All],[Role]],0),MATCH("Per-minute cost",Staff_Costs[#Headers],0))*'Per-Participant ActivitiesArm12'!C35)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ActivitiesArm12'!D36,Staff_Costs[[#All],[Role]],0),MATCH("Per-minute cost",Staff_Costs[#Headers],0))*'Per-Participant ActivitiesArm12'!C36)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ActivitiesArm12'!D37,Staff_Costs[[#All],[Role]],0),MATCH("Per-minute cost",Staff_Costs[#Headers],0))*'Per-Participant ActivitiesArm12'!C37)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ActivitiesArm12'!D38,Staff_Costs[[#All],[Role]],0),MATCH("Per-minute cost",Staff_Costs[#Headers],0))*'Per-Participant ActivitiesArm12'!C38)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ActivitiesArm12'!D39,Staff_Costs[[#All],[Role]],0),MATCH("Per-minute cost",Staff_Costs[#Headers],0))*'Per-Participant ActivitiesArm12'!C39)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ActivitiesArm12'!D40,Staff_Costs[[#All],[Role]],0),MATCH("Per-minute cost",Staff_Costs[#Headers],0))*'Per-Participant ActivitiesArm12'!C40)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ActivitiesArm12'!D41,Staff_Costs[[#All],[Role]],0),MATCH("Per-minute cost",Staff_Costs[#Headers],0))*'Per-Participant ActivitiesArm12'!C41)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ActivitiesArm12'!D42,Staff_Costs[[#All],[Role]],0),MATCH("Per-minute cost",Staff_Costs[#Headers],0))*'Per-Participant ActivitiesArm12'!C42)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ActivitiesArm12'!D43,Staff_Costs[[#All],[Role]],0),MATCH("Per-minute cost",Staff_Costs[#Headers],0))*'Per-Participant ActivitiesArm12'!C43)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ActivitiesArm12'!D44,Staff_Costs[[#All],[Role]],0),MATCH("Per-minute cost",Staff_Costs[#Headers],0))*'Per-Participant ActivitiesArm12'!C44)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ActivitiesArm12'!D45,Staff_Costs[[#All],[Role]],0),MATCH("Per-minute cost",Staff_Costs[#Headers],0))*'Per-Participant ActivitiesArm12'!C45)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ActivitiesArm12'!D46,Staff_Costs[[#All],[Role]],0),MATCH("Per-minute cost",Staff_Costs[#Headers],0))*'Per-Participant ActivitiesArm12'!C46)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ActivitiesArm12'!D47,Staff_Costs[[#All],[Role]],0),MATCH("Per-minute cost",Staff_Costs[#Headers],0))*'Per-Participant ActivitiesArm12'!C47)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ActivitiesArm12'!D48,Staff_Costs[[#All],[Role]],0),MATCH("Per-minute cost",Staff_Costs[#Headers],0))*'Per-Participant ActivitiesArm12'!C48)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ActivitiesArm12'!D49,Staff_Costs[[#All],[Role]],0),MATCH("Per-minute cost",Staff_Costs[#Headers],0))*'Per-Participant ActivitiesArm12'!C49)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ActivitiesArm12'!D50,Staff_Costs[[#All],[Role]],0),MATCH("Per-minute cost",Staff_Costs[#Headers],0))*'Per-Participant ActivitiesArm12'!C50)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ActivitiesArm12'!D51,Staff_Costs[[#All],[Role]],0),MATCH("Per-minute cost",Staff_Costs[#Headers],0))*'Per-Participant ActivitiesArm12'!C51)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ActivitiesArm12'!D52,Staff_Costs[[#All],[Role]],0),MATCH("Per-minute cost",Staff_Costs[#Headers],0))*'Per-Participant ActivitiesArm12'!C52)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ActivitiesArm12'!D53,Staff_Costs[[#All],[Role]],0),MATCH("Per-minute cost",Staff_Costs[#Headers],0))*'Per-Participant ActivitiesArm12'!C53)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ActivitiesArm12'!D54,Staff_Costs[[#All],[Role]],0),MATCH("Per-minute cost",Staff_Costs[#Headers],0))*'Per-Participant ActivitiesArm12'!C54)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ActivitiesArm12'!D55,Staff_Costs[[#All],[Role]],0),MATCH("Per-minute cost",Staff_Costs[#Headers],0))*'Per-Participant ActivitiesArm12'!C55)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ActivitiesArm12'!D56,Staff_Costs[[#All],[Role]],0),MATCH("Per-minute cost",Staff_Costs[#Headers],0))*'Per-Participant ActivitiesArm12'!C56)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ActivitiesArm12'!D57,Staff_Costs[[#All],[Role]],0),MATCH("Per-minute cost",Staff_Costs[#Headers],0))*'Per-Participant ActivitiesArm12'!C57)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ActivitiesArm12'!D58,Staff_Costs[[#All],[Role]],0),MATCH("Per-minute cost",Staff_Costs[#Headers],0))*'Per-Participant ActivitiesArm12'!C58)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ActivitiesArm12'!D59,Staff_Costs[[#All],[Role]],0),MATCH("Per-minute cost",Staff_Costs[#Headers],0))*'Per-Participant ActivitiesArm12'!C59)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ActivitiesArm12'!D60,Staff_Costs[[#All],[Role]],0),MATCH("Per-minute cost",Staff_Costs[#Headers],0))*'Per-Participant ActivitiesArm12'!C60)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ActivitiesArm12'!D61,Staff_Costs[[#All],[Role]],0),MATCH("Per-minute cost",Staff_Costs[#Headers],0))*'Per-Participant ActivitiesArm12'!C61)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ActivitiesArm12'!D62,Staff_Costs[[#All],[Role]],0),MATCH("Per-minute cost",Staff_Costs[#Headers],0))*'Per-Participant ActivitiesArm12'!C62)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ActivitiesArm12'!D63,Staff_Costs[[#All],[Role]],0),MATCH("Per-minute cost",Staff_Costs[#Headers],0))*'Per-Participant ActivitiesArm12'!C63)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ActivitiesArm12'!D64,Staff_Costs[[#All],[Role]],0),MATCH("Per-minute cost",Staff_Costs[#Headers],0))*'Per-Participant ActivitiesArm12'!C64)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ActivitiesArm12'!D65,Staff_Costs[[#All],[Role]],0),MATCH("Per-minute cost",Staff_Costs[#Headers],0))*'Per-Participant ActivitiesArm12'!C65)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ActivitiesArm12'!D66,Staff_Costs[[#All],[Role]],0),MATCH("Per-minute cost",Staff_Costs[#Headers],0))*'Per-Participant ActivitiesArm12'!C66)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ActivitiesArm12'!D67,Staff_Costs[[#All],[Role]],0),MATCH("Per-minute cost",Staff_Costs[#Headers],0))*'Per-Participant ActivitiesArm12'!C67)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ActivitiesArm12'!D68,Staff_Costs[[#All],[Role]],0),MATCH("Per-minute cost",Staff_Costs[#Headers],0))*'Per-Participant ActivitiesArm12'!C68)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ActivitiesArm12'!D69,Staff_Costs[[#All],[Role]],0),MATCH("Per-minute cost",Staff_Costs[#Headers],0))*'Per-Participant ActivitiesArm12'!C69)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ActivitiesArm12'!D70,Staff_Costs[[#All],[Role]],0),MATCH("Per-minute cost",Staff_Costs[#Headers],0))*'Per-Participant ActivitiesArm12'!C70)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ActivitiesArm12'!D71,Staff_Costs[[#All],[Role]],0),MATCH("Per-minute cost",Staff_Costs[#Headers],0))*'Per-Participant ActivitiesArm12'!C71)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ActivitiesArm12'!D72,Staff_Costs[[#All],[Role]],0),MATCH("Per-minute cost",Staff_Costs[#Headers],0))*'Per-Participant ActivitiesArm12'!C72)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ActivitiesArm12'!D73,Staff_Costs[[#All],[Role]],0),MATCH("Per-minute cost",Staff_Costs[#Headers],0))*'Per-Participant ActivitiesArm12'!C73)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ActivitiesArm12'!D74,Staff_Costs[[#All],[Role]],0),MATCH("Per-minute cost",Staff_Costs[#Headers],0))*'Per-Participant ActivitiesArm12'!C74)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ActivitiesArm12'!D75,Staff_Costs[[#All],[Role]],0),MATCH("Per-minute cost",Staff_Costs[#Headers],0))*'Per-Participant ActivitiesArm12'!C75)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ActivitiesArm12'!D76,Staff_Costs[[#All],[Role]],0),MATCH("Per-minute cost",Staff_Costs[#Headers],0))*'Per-Participant ActivitiesArm12'!C76)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ActivitiesArm12'!D77,Staff_Costs[[#All],[Role]],0),MATCH("Per-minute cost",Staff_Costs[#Headers],0))*'Per-Participant ActivitiesArm12'!C77)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ActivitiesArm12'!D78,Staff_Costs[[#All],[Role]],0),MATCH("Per-minute cost",Staff_Costs[#Headers],0))*'Per-Participant ActivitiesArm12'!C78)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ActivitiesArm12'!D79,Staff_Costs[[#All],[Role]],0),MATCH("Per-minute cost",Staff_Costs[#Headers],0))*'Per-Participant ActivitiesArm12'!C79)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ActivitiesArm12'!D80,Staff_Costs[[#All],[Role]],0),MATCH("Per-minute cost",Staff_Costs[#Headers],0))*'Per-Participant ActivitiesArm12'!C80)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ActivitiesArm12'!D81,Staff_Costs[[#All],[Role]],0),MATCH("Per-minute cost",Staff_Costs[#Headers],0))*'Per-Participant ActivitiesArm12'!C81)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ActivitiesArm12'!D82,Staff_Costs[[#All],[Role]],0),MATCH("Per-minute cost",Staff_Costs[#Headers],0))*'Per-Participant ActivitiesArm12'!C82)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ActivitiesArm12'!D83,Staff_Costs[[#All],[Role]],0),MATCH("Per-minute cost",Staff_Costs[#Headers],0))*'Per-Participant ActivitiesArm12'!C83)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ActivitiesArm12'!D84,Staff_Costs[[#All],[Role]],0),MATCH("Per-minute cost",Staff_Costs[#Headers],0))*'Per-Participant ActivitiesArm12'!C84)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ActivitiesArm12'!D85,Staff_Costs[[#All],[Role]],0),MATCH("Per-minute cost",Staff_Costs[#Headers],0))*'Per-Participant ActivitiesArm12'!C85)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ActivitiesArm12'!D86,Staff_Costs[[#All],[Role]],0),MATCH("Per-minute cost",Staff_Costs[#Headers],0))*'Per-Participant ActivitiesArm12'!C86)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ActivitiesArm12'!D87,Staff_Costs[[#All],[Role]],0),MATCH("Per-minute cost",Staff_Costs[#Headers],0))*'Per-Participant ActivitiesArm12'!C87)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ActivitiesArm12'!D88,Staff_Costs[[#All],[Role]],0),MATCH("Per-minute cost",Staff_Costs[#Headers],0))*'Per-Participant ActivitiesArm12'!C88)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ActivitiesArm12'!D89,Staff_Costs[[#All],[Role]],0),MATCH("Per-minute cost",Staff_Costs[#Headers],0))*'Per-Participant ActivitiesArm12'!C89)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ActivitiesArm12'!D90,Staff_Costs[[#All],[Role]],0),MATCH("Per-minute cost",Staff_Costs[#Headers],0))*'Per-Participant ActivitiesArm12'!C90)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ActivitiesArm12'!D91,Staff_Costs[[#All],[Role]],0),MATCH("Per-minute cost",Staff_Costs[#Headers],0))*'Per-Participant ActivitiesArm12'!C91)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ActivitiesArm12'!D92,Staff_Costs[[#All],[Role]],0),MATCH("Per-minute cost",Staff_Costs[#Headers],0))*'Per-Participant ActivitiesArm12'!C92)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ActivitiesArm12'!D93,Staff_Costs[[#All],[Role]],0),MATCH("Per-minute cost",Staff_Costs[#Headers],0))*'Per-Participant ActivitiesArm12'!C93)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ActivitiesArm12'!D94,Staff_Costs[[#All],[Role]],0),MATCH("Per-minute cost",Staff_Costs[#Headers],0))*'Per-Participant ActivitiesArm12'!C94)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ActivitiesArm12'!D95,Staff_Costs[[#All],[Role]],0),MATCH("Per-minute cost",Staff_Costs[#Headers],0))*'Per-Participant ActivitiesArm12'!C95)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ActivitiesArm12'!D96,Staff_Costs[[#All],[Role]],0),MATCH("Per-minute cost",Staff_Costs[#Headers],0))*'Per-Participant ActivitiesArm12'!C96)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ActivitiesArm12'!D97,Staff_Costs[[#All],[Role]],0),MATCH("Per-minute cost",Staff_Costs[#Headers],0))*'Per-Participant ActivitiesArm12'!C97)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ActivitiesArm12'!D98,Staff_Costs[[#All],[Role]],0),MATCH("Per-minute cost",Staff_Costs[#Headers],0))*'Per-Participant ActivitiesArm12'!C98)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ActivitiesArm12'!D99,Staff_Costs[[#All],[Role]],0),MATCH("Per-minute cost",Staff_Costs[#Headers],0))*'Per-Participant ActivitiesArm12'!C99)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ActivitiesArm12'!D100,Staff_Costs[[#All],[Role]],0),MATCH("Per-minute cost",Staff_Costs[#Headers],0))*'Per-Participant ActivitiesArm12'!C100)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ActivitiesArm12'!D101,Staff_Costs[[#All],[Role]],0),MATCH("Per-minute cost",Staff_Costs[#Headers],0))*'Per-Participant ActivitiesArm12'!C101)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ActivitiesArm12'!D102,Staff_Costs[[#All],[Role]],0),MATCH("Per-minute cost",Staff_Costs[#Headers],0))*'Per-Participant ActivitiesArm12'!C102)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ActivitiesArm12'!D103,Staff_Costs[[#All],[Role]],0),MATCH("Per-minute cost",Staff_Costs[#Headers],0))*'Per-Participant ActivitiesArm12'!C103)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ActivitiesArm12'!D104,Staff_Costs[[#All],[Role]],0),MATCH("Per-minute cost",Staff_Costs[#Headers],0))*'Per-Participant ActivitiesArm12'!C104)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ActivitiesArm12'!D105,Staff_Costs[[#All],[Role]],0),MATCH("Per-minute cost",Staff_Costs[#Headers],0))*'Per-Participant ActivitiesArm12'!C105)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ActivitiesArm12'!D106,Staff_Costs[[#All],[Role]],0),MATCH("Per-minute cost",Staff_Costs[#Headers],0))*'Per-Participant ActivitiesArm12'!C106)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ActivitiesArm12'!D107,Staff_Costs[[#All],[Role]],0),MATCH("Per-minute cost",Staff_Costs[#Headers],0))*'Per-Participant ActivitiesArm12'!C107)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ActivitiesArm12'!D108,Staff_Costs[[#All],[Role]],0),MATCH("Per-minute cost",Staff_Costs[#Headers],0))*'Per-Participant ActivitiesArm12'!C108)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ActivitiesArm12'!D109,Staff_Costs[[#All],[Role]],0),MATCH("Per-minute cost",Staff_Costs[#Headers],0))*'Per-Participant ActivitiesArm12'!C109)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ActivitiesArm12'!D110,Staff_Costs[[#All],[Role]],0),MATCH("Per-minute cost",Staff_Costs[#Headers],0))*'Per-Participant ActivitiesArm12'!C110)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JXRhSqmg/bHJeYHbyCGnXfuVSrx76SGwsjDPTCg7zR+4rwHXIqVplccIUgEaQFdZD5lrrfH7i2cppWDrqbTAcg==" saltValue="VjMt4ufl9o1gL8tQ41q2I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22" priority="3">
      <formula>IF($AO10="investigation",TRUE,FALSE)</formula>
    </cfRule>
  </conditionalFormatting>
  <conditionalFormatting sqref="C11">
    <cfRule type="expression" dxfId="221" priority="2">
      <formula>IF($AO11="investigation",TRUE,FALSE)</formula>
    </cfRule>
  </conditionalFormatting>
  <conditionalFormatting sqref="C65:C110">
    <cfRule type="expression" dxfId="220"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630</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8"/>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ActivitiesArm13'!D10,Staff_Costs[[#All],[Role]],0),MATCH("Per-minute cost",Staff_Costs[#Headers],0))*'Per-Participant ActivitiesArm13'!C10)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8"/>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ActivitiesArm13'!D11,Staff_Costs[[#All],[Role]],0),MATCH("Per-minute cost",Staff_Costs[#Headers],0))*'Per-Participant ActivitiesArm13'!C11)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ActivitiesArm13'!D12,Staff_Costs[[#All],[Role]],0),MATCH("Per-minute cost",Staff_Costs[#Headers],0))*'Per-Participant ActivitiesArm13'!C12)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ActivitiesArm13'!D13,Staff_Costs[[#All],[Role]],0),MATCH("Per-minute cost",Staff_Costs[#Headers],0))*'Per-Participant ActivitiesArm13'!C13)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ActivitiesArm13'!D14,Staff_Costs[[#All],[Role]],0),MATCH("Per-minute cost",Staff_Costs[#Headers],0))*'Per-Participant ActivitiesArm13'!C14)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ActivitiesArm13'!D15,Staff_Costs[[#All],[Role]],0),MATCH("Per-minute cost",Staff_Costs[#Headers],0))*'Per-Participant ActivitiesArm13'!C15)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ActivitiesArm13'!D16,Staff_Costs[[#All],[Role]],0),MATCH("Per-minute cost",Staff_Costs[#Headers],0))*'Per-Participant ActivitiesArm13'!C16)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ActivitiesArm13'!D17,Staff_Costs[[#All],[Role]],0),MATCH("Per-minute cost",Staff_Costs[#Headers],0))*'Per-Participant ActivitiesArm13'!C17)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ActivitiesArm13'!D18,Staff_Costs[[#All],[Role]],0),MATCH("Per-minute cost",Staff_Costs[#Headers],0))*'Per-Participant ActivitiesArm13'!C18)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8"/>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ActivitiesArm13'!D19,Staff_Costs[[#All],[Role]],0),MATCH("Per-minute cost",Staff_Costs[#Headers],0))*'Per-Participant ActivitiesArm13'!C19)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8"/>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ActivitiesArm13'!D20,Staff_Costs[[#All],[Role]],0),MATCH("Per-minute cost",Staff_Costs[#Headers],0))*'Per-Participant ActivitiesArm13'!C20)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8"/>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ActivitiesArm13'!D21,Staff_Costs[[#All],[Role]],0),MATCH("Per-minute cost",Staff_Costs[#Headers],0))*'Per-Participant ActivitiesArm13'!C21)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8"/>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ActivitiesArm13'!D22,Staff_Costs[[#All],[Role]],0),MATCH("Per-minute cost",Staff_Costs[#Headers],0))*'Per-Participant ActivitiesArm13'!C22)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8"/>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ActivitiesArm13'!D23,Staff_Costs[[#All],[Role]],0),MATCH("Per-minute cost",Staff_Costs[#Headers],0))*'Per-Participant ActivitiesArm13'!C23)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8"/>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ActivitiesArm13'!D24,Staff_Costs[[#All],[Role]],0),MATCH("Per-minute cost",Staff_Costs[#Headers],0))*'Per-Participant ActivitiesArm13'!C24)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8"/>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ActivitiesArm13'!D25,Staff_Costs[[#All],[Role]],0),MATCH("Per-minute cost",Staff_Costs[#Headers],0))*'Per-Participant ActivitiesArm13'!C25)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8"/>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ActivitiesArm13'!D26,Staff_Costs[[#All],[Role]],0),MATCH("Per-minute cost",Staff_Costs[#Headers],0))*'Per-Participant ActivitiesArm13'!C26)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8"/>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ActivitiesArm13'!D27,Staff_Costs[[#All],[Role]],0),MATCH("Per-minute cost",Staff_Costs[#Headers],0))*'Per-Participant ActivitiesArm13'!C27)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8"/>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ActivitiesArm13'!D28,Staff_Costs[[#All],[Role]],0),MATCH("Per-minute cost",Staff_Costs[#Headers],0))*'Per-Participant ActivitiesArm13'!C28)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8"/>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ActivitiesArm13'!D29,Staff_Costs[[#All],[Role]],0),MATCH("Per-minute cost",Staff_Costs[#Headers],0))*'Per-Participant ActivitiesArm13'!C29)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8"/>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ActivitiesArm13'!D30,Staff_Costs[[#All],[Role]],0),MATCH("Per-minute cost",Staff_Costs[#Headers],0))*'Per-Participant ActivitiesArm13'!C30)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8"/>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ActivitiesArm13'!D31,Staff_Costs[[#All],[Role]],0),MATCH("Per-minute cost",Staff_Costs[#Headers],0))*'Per-Participant ActivitiesArm13'!C31)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8"/>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ActivitiesArm13'!D32,Staff_Costs[[#All],[Role]],0),MATCH("Per-minute cost",Staff_Costs[#Headers],0))*'Per-Participant ActivitiesArm13'!C32)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8"/>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ActivitiesArm13'!D33,Staff_Costs[[#All],[Role]],0),MATCH("Per-minute cost",Staff_Costs[#Headers],0))*'Per-Participant ActivitiesArm13'!C33)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8"/>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ActivitiesArm13'!D34,Staff_Costs[[#All],[Role]],0),MATCH("Per-minute cost",Staff_Costs[#Headers],0))*'Per-Participant ActivitiesArm13'!C34)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8"/>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ActivitiesArm13'!D35,Staff_Costs[[#All],[Role]],0),MATCH("Per-minute cost",Staff_Costs[#Headers],0))*'Per-Participant ActivitiesArm13'!C35)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8"/>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ActivitiesArm13'!D36,Staff_Costs[[#All],[Role]],0),MATCH("Per-minute cost",Staff_Costs[#Headers],0))*'Per-Participant ActivitiesArm13'!C36)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8"/>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ActivitiesArm13'!D37,Staff_Costs[[#All],[Role]],0),MATCH("Per-minute cost",Staff_Costs[#Headers],0))*'Per-Participant ActivitiesArm13'!C37)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8"/>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ActivitiesArm13'!D38,Staff_Costs[[#All],[Role]],0),MATCH("Per-minute cost",Staff_Costs[#Headers],0))*'Per-Participant ActivitiesArm13'!C38)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8"/>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ActivitiesArm13'!D39,Staff_Costs[[#All],[Role]],0),MATCH("Per-minute cost",Staff_Costs[#Headers],0))*'Per-Participant ActivitiesArm13'!C39)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8"/>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ActivitiesArm13'!D40,Staff_Costs[[#All],[Role]],0),MATCH("Per-minute cost",Staff_Costs[#Headers],0))*'Per-Participant ActivitiesArm13'!C40)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8"/>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ActivitiesArm13'!D41,Staff_Costs[[#All],[Role]],0),MATCH("Per-minute cost",Staff_Costs[#Headers],0))*'Per-Participant ActivitiesArm13'!C41)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8"/>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ActivitiesArm13'!D42,Staff_Costs[[#All],[Role]],0),MATCH("Per-minute cost",Staff_Costs[#Headers],0))*'Per-Participant ActivitiesArm13'!C42)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8"/>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ActivitiesArm13'!D43,Staff_Costs[[#All],[Role]],0),MATCH("Per-minute cost",Staff_Costs[#Headers],0))*'Per-Participant ActivitiesArm13'!C43)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8"/>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ActivitiesArm13'!D44,Staff_Costs[[#All],[Role]],0),MATCH("Per-minute cost",Staff_Costs[#Headers],0))*'Per-Participant ActivitiesArm13'!C44)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8"/>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ActivitiesArm13'!D45,Staff_Costs[[#All],[Role]],0),MATCH("Per-minute cost",Staff_Costs[#Headers],0))*'Per-Participant ActivitiesArm13'!C45)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8"/>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ActivitiesArm13'!D46,Staff_Costs[[#All],[Role]],0),MATCH("Per-minute cost",Staff_Costs[#Headers],0))*'Per-Participant ActivitiesArm13'!C46)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8"/>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ActivitiesArm13'!D47,Staff_Costs[[#All],[Role]],0),MATCH("Per-minute cost",Staff_Costs[#Headers],0))*'Per-Participant ActivitiesArm13'!C47)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8"/>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ActivitiesArm13'!D48,Staff_Costs[[#All],[Role]],0),MATCH("Per-minute cost",Staff_Costs[#Headers],0))*'Per-Participant ActivitiesArm13'!C48)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8"/>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ActivitiesArm13'!D49,Staff_Costs[[#All],[Role]],0),MATCH("Per-minute cost",Staff_Costs[#Headers],0))*'Per-Participant ActivitiesArm13'!C49)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8"/>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ActivitiesArm13'!D50,Staff_Costs[[#All],[Role]],0),MATCH("Per-minute cost",Staff_Costs[#Headers],0))*'Per-Participant ActivitiesArm13'!C50)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8"/>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ActivitiesArm13'!D51,Staff_Costs[[#All],[Role]],0),MATCH("Per-minute cost",Staff_Costs[#Headers],0))*'Per-Participant ActivitiesArm13'!C51)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8"/>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ActivitiesArm13'!D52,Staff_Costs[[#All],[Role]],0),MATCH("Per-minute cost",Staff_Costs[#Headers],0))*'Per-Participant ActivitiesArm13'!C52)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8"/>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ActivitiesArm13'!D53,Staff_Costs[[#All],[Role]],0),MATCH("Per-minute cost",Staff_Costs[#Headers],0))*'Per-Participant ActivitiesArm13'!C53)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8"/>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ActivitiesArm13'!D54,Staff_Costs[[#All],[Role]],0),MATCH("Per-minute cost",Staff_Costs[#Headers],0))*'Per-Participant ActivitiesArm13'!C54)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8"/>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ActivitiesArm13'!D55,Staff_Costs[[#All],[Role]],0),MATCH("Per-minute cost",Staff_Costs[#Headers],0))*'Per-Participant ActivitiesArm13'!C55)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8"/>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ActivitiesArm13'!D56,Staff_Costs[[#All],[Role]],0),MATCH("Per-minute cost",Staff_Costs[#Headers],0))*'Per-Participant ActivitiesArm13'!C56)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8"/>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ActivitiesArm13'!D57,Staff_Costs[[#All],[Role]],0),MATCH("Per-minute cost",Staff_Costs[#Headers],0))*'Per-Participant ActivitiesArm13'!C57)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8"/>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ActivitiesArm13'!D58,Staff_Costs[[#All],[Role]],0),MATCH("Per-minute cost",Staff_Costs[#Headers],0))*'Per-Participant ActivitiesArm13'!C58)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8"/>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ActivitiesArm13'!D59,Staff_Costs[[#All],[Role]],0),MATCH("Per-minute cost",Staff_Costs[#Headers],0))*'Per-Participant ActivitiesArm13'!C59)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8"/>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ActivitiesArm13'!D60,Staff_Costs[[#All],[Role]],0),MATCH("Per-minute cost",Staff_Costs[#Headers],0))*'Per-Participant ActivitiesArm13'!C60)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8"/>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ActivitiesArm13'!D61,Staff_Costs[[#All],[Role]],0),MATCH("Per-minute cost",Staff_Costs[#Headers],0))*'Per-Participant ActivitiesArm13'!C61)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8"/>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ActivitiesArm13'!D62,Staff_Costs[[#All],[Role]],0),MATCH("Per-minute cost",Staff_Costs[#Headers],0))*'Per-Participant ActivitiesArm13'!C62)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8"/>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ActivitiesArm13'!D63,Staff_Costs[[#All],[Role]],0),MATCH("Per-minute cost",Staff_Costs[#Headers],0))*'Per-Participant ActivitiesArm13'!C63)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ActivitiesArm13'!D64,Staff_Costs[[#All],[Role]],0),MATCH("Per-minute cost",Staff_Costs[#Headers],0))*'Per-Participant ActivitiesArm13'!C64)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ActivitiesArm13'!D65,Staff_Costs[[#All],[Role]],0),MATCH("Per-minute cost",Staff_Costs[#Headers],0))*'Per-Participant ActivitiesArm13'!C65)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ActivitiesArm13'!D66,Staff_Costs[[#All],[Role]],0),MATCH("Per-minute cost",Staff_Costs[#Headers],0))*'Per-Participant ActivitiesArm13'!C66)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ActivitiesArm13'!D67,Staff_Costs[[#All],[Role]],0),MATCH("Per-minute cost",Staff_Costs[#Headers],0))*'Per-Participant ActivitiesArm13'!C67)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ActivitiesArm13'!D68,Staff_Costs[[#All],[Role]],0),MATCH("Per-minute cost",Staff_Costs[#Headers],0))*'Per-Participant ActivitiesArm13'!C68)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ActivitiesArm13'!D69,Staff_Costs[[#All],[Role]],0),MATCH("Per-minute cost",Staff_Costs[#Headers],0))*'Per-Participant ActivitiesArm13'!C69)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ActivitiesArm13'!D70,Staff_Costs[[#All],[Role]],0),MATCH("Per-minute cost",Staff_Costs[#Headers],0))*'Per-Participant ActivitiesArm13'!C70)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ActivitiesArm13'!D71,Staff_Costs[[#All],[Role]],0),MATCH("Per-minute cost",Staff_Costs[#Headers],0))*'Per-Participant ActivitiesArm13'!C71)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ActivitiesArm13'!D72,Staff_Costs[[#All],[Role]],0),MATCH("Per-minute cost",Staff_Costs[#Headers],0))*'Per-Participant ActivitiesArm13'!C72)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ActivitiesArm13'!D73,Staff_Costs[[#All],[Role]],0),MATCH("Per-minute cost",Staff_Costs[#Headers],0))*'Per-Participant ActivitiesArm13'!C73)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ActivitiesArm13'!D74,Staff_Costs[[#All],[Role]],0),MATCH("Per-minute cost",Staff_Costs[#Headers],0))*'Per-Participant ActivitiesArm13'!C74)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ActivitiesArm13'!D75,Staff_Costs[[#All],[Role]],0),MATCH("Per-minute cost",Staff_Costs[#Headers],0))*'Per-Participant ActivitiesArm13'!C75)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ActivitiesArm13'!D76,Staff_Costs[[#All],[Role]],0),MATCH("Per-minute cost",Staff_Costs[#Headers],0))*'Per-Participant ActivitiesArm13'!C76)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ActivitiesArm13'!D77,Staff_Costs[[#All],[Role]],0),MATCH("Per-minute cost",Staff_Costs[#Headers],0))*'Per-Participant ActivitiesArm13'!C77)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ActivitiesArm13'!D78,Staff_Costs[[#All],[Role]],0),MATCH("Per-minute cost",Staff_Costs[#Headers],0))*'Per-Participant ActivitiesArm13'!C78)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ActivitiesArm13'!D79,Staff_Costs[[#All],[Role]],0),MATCH("Per-minute cost",Staff_Costs[#Headers],0))*'Per-Participant ActivitiesArm13'!C79)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ActivitiesArm13'!D80,Staff_Costs[[#All],[Role]],0),MATCH("Per-minute cost",Staff_Costs[#Headers],0))*'Per-Participant ActivitiesArm13'!C80)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ActivitiesArm13'!D81,Staff_Costs[[#All],[Role]],0),MATCH("Per-minute cost",Staff_Costs[#Headers],0))*'Per-Participant ActivitiesArm13'!C81)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ActivitiesArm13'!D82,Staff_Costs[[#All],[Role]],0),MATCH("Per-minute cost",Staff_Costs[#Headers],0))*'Per-Participant ActivitiesArm13'!C82)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ActivitiesArm13'!D83,Staff_Costs[[#All],[Role]],0),MATCH("Per-minute cost",Staff_Costs[#Headers],0))*'Per-Participant ActivitiesArm13'!C83)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ActivitiesArm13'!D84,Staff_Costs[[#All],[Role]],0),MATCH("Per-minute cost",Staff_Costs[#Headers],0))*'Per-Participant ActivitiesArm13'!C84)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ActivitiesArm13'!D85,Staff_Costs[[#All],[Role]],0),MATCH("Per-minute cost",Staff_Costs[#Headers],0))*'Per-Participant ActivitiesArm13'!C85)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ActivitiesArm13'!D86,Staff_Costs[[#All],[Role]],0),MATCH("Per-minute cost",Staff_Costs[#Headers],0))*'Per-Participant ActivitiesArm13'!C86)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ActivitiesArm13'!D87,Staff_Costs[[#All],[Role]],0),MATCH("Per-minute cost",Staff_Costs[#Headers],0))*'Per-Participant ActivitiesArm13'!C87)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ActivitiesArm13'!D88,Staff_Costs[[#All],[Role]],0),MATCH("Per-minute cost",Staff_Costs[#Headers],0))*'Per-Participant ActivitiesArm13'!C88)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ActivitiesArm13'!D89,Staff_Costs[[#All],[Role]],0),MATCH("Per-minute cost",Staff_Costs[#Headers],0))*'Per-Participant ActivitiesArm13'!C89)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ActivitiesArm13'!D90,Staff_Costs[[#All],[Role]],0),MATCH("Per-minute cost",Staff_Costs[#Headers],0))*'Per-Participant ActivitiesArm13'!C90)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ActivitiesArm13'!D91,Staff_Costs[[#All],[Role]],0),MATCH("Per-minute cost",Staff_Costs[#Headers],0))*'Per-Participant ActivitiesArm13'!C91)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ActivitiesArm13'!D92,Staff_Costs[[#All],[Role]],0),MATCH("Per-minute cost",Staff_Costs[#Headers],0))*'Per-Participant ActivitiesArm13'!C92)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ActivitiesArm13'!D93,Staff_Costs[[#All],[Role]],0),MATCH("Per-minute cost",Staff_Costs[#Headers],0))*'Per-Participant ActivitiesArm13'!C93)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ActivitiesArm13'!D94,Staff_Costs[[#All],[Role]],0),MATCH("Per-minute cost",Staff_Costs[#Headers],0))*'Per-Participant ActivitiesArm13'!C94)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ActivitiesArm13'!D95,Staff_Costs[[#All],[Role]],0),MATCH("Per-minute cost",Staff_Costs[#Headers],0))*'Per-Participant ActivitiesArm13'!C95)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ActivitiesArm13'!D96,Staff_Costs[[#All],[Role]],0),MATCH("Per-minute cost",Staff_Costs[#Headers],0))*'Per-Participant ActivitiesArm13'!C96)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ActivitiesArm13'!D97,Staff_Costs[[#All],[Role]],0),MATCH("Per-minute cost",Staff_Costs[#Headers],0))*'Per-Participant ActivitiesArm13'!C97)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ActivitiesArm13'!D98,Staff_Costs[[#All],[Role]],0),MATCH("Per-minute cost",Staff_Costs[#Headers],0))*'Per-Participant ActivitiesArm13'!C98)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ActivitiesArm13'!D99,Staff_Costs[[#All],[Role]],0),MATCH("Per-minute cost",Staff_Costs[#Headers],0))*'Per-Participant ActivitiesArm13'!C99)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ActivitiesArm13'!D100,Staff_Costs[[#All],[Role]],0),MATCH("Per-minute cost",Staff_Costs[#Headers],0))*'Per-Participant ActivitiesArm13'!C100)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ActivitiesArm13'!D101,Staff_Costs[[#All],[Role]],0),MATCH("Per-minute cost",Staff_Costs[#Headers],0))*'Per-Participant ActivitiesArm13'!C101)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ActivitiesArm13'!D102,Staff_Costs[[#All],[Role]],0),MATCH("Per-minute cost",Staff_Costs[#Headers],0))*'Per-Participant ActivitiesArm13'!C102)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ActivitiesArm13'!D103,Staff_Costs[[#All],[Role]],0),MATCH("Per-minute cost",Staff_Costs[#Headers],0))*'Per-Participant ActivitiesArm13'!C103)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ActivitiesArm13'!D104,Staff_Costs[[#All],[Role]],0),MATCH("Per-minute cost",Staff_Costs[#Headers],0))*'Per-Participant ActivitiesArm13'!C104)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ActivitiesArm13'!D105,Staff_Costs[[#All],[Role]],0),MATCH("Per-minute cost",Staff_Costs[#Headers],0))*'Per-Participant ActivitiesArm13'!C105)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ActivitiesArm13'!D106,Staff_Costs[[#All],[Role]],0),MATCH("Per-minute cost",Staff_Costs[#Headers],0))*'Per-Participant ActivitiesArm13'!C106)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ActivitiesArm13'!D107,Staff_Costs[[#All],[Role]],0),MATCH("Per-minute cost",Staff_Costs[#Headers],0))*'Per-Participant ActivitiesArm13'!C107)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ActivitiesArm13'!D108,Staff_Costs[[#All],[Role]],0),MATCH("Per-minute cost",Staff_Costs[#Headers],0))*'Per-Participant ActivitiesArm13'!C108)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ActivitiesArm13'!D109,Staff_Costs[[#All],[Role]],0),MATCH("Per-minute cost",Staff_Costs[#Headers],0))*'Per-Participant ActivitiesArm13'!C109)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ActivitiesArm13'!D110,Staff_Costs[[#All],[Role]],0),MATCH("Per-minute cost",Staff_Costs[#Headers],0))*'Per-Participant ActivitiesArm13'!C110)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3+dlPqP4chUzbxkZYhuPvufbHBqohsHTKqbgDUezFZwgVDV5zU3kn3ACe2Ak+ChYZJ9G1DxAKDALiyCAV/EJ6Q==" saltValue="dxjafq/z9gR6awbXN94ph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75" priority="3">
      <formula>IF($AO10="investigation",TRUE,FALSE)</formula>
    </cfRule>
  </conditionalFormatting>
  <conditionalFormatting sqref="C11">
    <cfRule type="expression" dxfId="174" priority="2">
      <formula>IF($AO11="investigation",TRUE,FALSE)</formula>
    </cfRule>
  </conditionalFormatting>
  <conditionalFormatting sqref="C65:C110">
    <cfRule type="expression" dxfId="173"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631</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ActivitiesArm14'!D10,Staff_Costs[[#All],[Role]],0),MATCH("Per-minute cost",Staff_Costs[#Headers],0))*'Per-Participant ActivitiesArm14'!C10)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ActivitiesArm14'!D11,Staff_Costs[[#All],[Role]],0),MATCH("Per-minute cost",Staff_Costs[#Headers],0))*'Per-Participant ActivitiesArm14'!C11)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ActivitiesArm14'!D12,Staff_Costs[[#All],[Role]],0),MATCH("Per-minute cost",Staff_Costs[#Headers],0))*'Per-Participant ActivitiesArm14'!C12)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ActivitiesArm14'!D13,Staff_Costs[[#All],[Role]],0),MATCH("Per-minute cost",Staff_Costs[#Headers],0))*'Per-Participant ActivitiesArm14'!C13)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ActivitiesArm14'!D14,Staff_Costs[[#All],[Role]],0),MATCH("Per-minute cost",Staff_Costs[#Headers],0))*'Per-Participant ActivitiesArm14'!C14)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ActivitiesArm14'!D15,Staff_Costs[[#All],[Role]],0),MATCH("Per-minute cost",Staff_Costs[#Headers],0))*'Per-Participant ActivitiesArm14'!C15)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ActivitiesArm14'!D16,Staff_Costs[[#All],[Role]],0),MATCH("Per-minute cost",Staff_Costs[#Headers],0))*'Per-Participant ActivitiesArm14'!C16)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ActivitiesArm14'!D17,Staff_Costs[[#All],[Role]],0),MATCH("Per-minute cost",Staff_Costs[#Headers],0))*'Per-Participant ActivitiesArm14'!C17)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ActivitiesArm14'!D18,Staff_Costs[[#All],[Role]],0),MATCH("Per-minute cost",Staff_Costs[#Headers],0))*'Per-Participant ActivitiesArm14'!C18)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ActivitiesArm14'!D19,Staff_Costs[[#All],[Role]],0),MATCH("Per-minute cost",Staff_Costs[#Headers],0))*'Per-Participant ActivitiesArm14'!C19)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ActivitiesArm14'!D20,Staff_Costs[[#All],[Role]],0),MATCH("Per-minute cost",Staff_Costs[#Headers],0))*'Per-Participant ActivitiesArm14'!C20)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ActivitiesArm14'!D21,Staff_Costs[[#All],[Role]],0),MATCH("Per-minute cost",Staff_Costs[#Headers],0))*'Per-Participant ActivitiesArm14'!C21)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ActivitiesArm14'!D22,Staff_Costs[[#All],[Role]],0),MATCH("Per-minute cost",Staff_Costs[#Headers],0))*'Per-Participant ActivitiesArm14'!C22)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ActivitiesArm14'!D23,Staff_Costs[[#All],[Role]],0),MATCH("Per-minute cost",Staff_Costs[#Headers],0))*'Per-Participant ActivitiesArm14'!C23)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ActivitiesArm14'!D24,Staff_Costs[[#All],[Role]],0),MATCH("Per-minute cost",Staff_Costs[#Headers],0))*'Per-Participant ActivitiesArm14'!C24)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ActivitiesArm14'!D25,Staff_Costs[[#All],[Role]],0),MATCH("Per-minute cost",Staff_Costs[#Headers],0))*'Per-Participant ActivitiesArm14'!C25)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ActivitiesArm14'!D26,Staff_Costs[[#All],[Role]],0),MATCH("Per-minute cost",Staff_Costs[#Headers],0))*'Per-Participant ActivitiesArm14'!C26)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ActivitiesArm14'!D27,Staff_Costs[[#All],[Role]],0),MATCH("Per-minute cost",Staff_Costs[#Headers],0))*'Per-Participant ActivitiesArm14'!C27)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ActivitiesArm14'!D28,Staff_Costs[[#All],[Role]],0),MATCH("Per-minute cost",Staff_Costs[#Headers],0))*'Per-Participant ActivitiesArm14'!C28)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ActivitiesArm14'!D29,Staff_Costs[[#All],[Role]],0),MATCH("Per-minute cost",Staff_Costs[#Headers],0))*'Per-Participant ActivitiesArm14'!C29)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ActivitiesArm14'!D30,Staff_Costs[[#All],[Role]],0),MATCH("Per-minute cost",Staff_Costs[#Headers],0))*'Per-Participant ActivitiesArm14'!C30)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ActivitiesArm14'!D31,Staff_Costs[[#All],[Role]],0),MATCH("Per-minute cost",Staff_Costs[#Headers],0))*'Per-Participant ActivitiesArm14'!C31)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ActivitiesArm14'!D32,Staff_Costs[[#All],[Role]],0),MATCH("Per-minute cost",Staff_Costs[#Headers],0))*'Per-Participant ActivitiesArm14'!C32)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ActivitiesArm14'!D33,Staff_Costs[[#All],[Role]],0),MATCH("Per-minute cost",Staff_Costs[#Headers],0))*'Per-Participant ActivitiesArm14'!C33)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ActivitiesArm14'!D34,Staff_Costs[[#All],[Role]],0),MATCH("Per-minute cost",Staff_Costs[#Headers],0))*'Per-Participant ActivitiesArm14'!C34)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ActivitiesArm14'!D35,Staff_Costs[[#All],[Role]],0),MATCH("Per-minute cost",Staff_Costs[#Headers],0))*'Per-Participant ActivitiesArm14'!C35)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ActivitiesArm14'!D36,Staff_Costs[[#All],[Role]],0),MATCH("Per-minute cost",Staff_Costs[#Headers],0))*'Per-Participant ActivitiesArm14'!C36)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ActivitiesArm14'!D37,Staff_Costs[[#All],[Role]],0),MATCH("Per-minute cost",Staff_Costs[#Headers],0))*'Per-Participant ActivitiesArm14'!C37)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ActivitiesArm14'!D38,Staff_Costs[[#All],[Role]],0),MATCH("Per-minute cost",Staff_Costs[#Headers],0))*'Per-Participant ActivitiesArm14'!C38)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ActivitiesArm14'!D39,Staff_Costs[[#All],[Role]],0),MATCH("Per-minute cost",Staff_Costs[#Headers],0))*'Per-Participant ActivitiesArm14'!C39)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ActivitiesArm14'!D40,Staff_Costs[[#All],[Role]],0),MATCH("Per-minute cost",Staff_Costs[#Headers],0))*'Per-Participant ActivitiesArm14'!C40)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ActivitiesArm14'!D41,Staff_Costs[[#All],[Role]],0),MATCH("Per-minute cost",Staff_Costs[#Headers],0))*'Per-Participant ActivitiesArm14'!C41)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ActivitiesArm14'!D42,Staff_Costs[[#All],[Role]],0),MATCH("Per-minute cost",Staff_Costs[#Headers],0))*'Per-Participant ActivitiesArm14'!C42)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ActivitiesArm14'!D43,Staff_Costs[[#All],[Role]],0),MATCH("Per-minute cost",Staff_Costs[#Headers],0))*'Per-Participant ActivitiesArm14'!C43)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ActivitiesArm14'!D44,Staff_Costs[[#All],[Role]],0),MATCH("Per-minute cost",Staff_Costs[#Headers],0))*'Per-Participant ActivitiesArm14'!C44)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ActivitiesArm14'!D45,Staff_Costs[[#All],[Role]],0),MATCH("Per-minute cost",Staff_Costs[#Headers],0))*'Per-Participant ActivitiesArm14'!C45)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ActivitiesArm14'!D46,Staff_Costs[[#All],[Role]],0),MATCH("Per-minute cost",Staff_Costs[#Headers],0))*'Per-Participant ActivitiesArm14'!C46)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ActivitiesArm14'!D47,Staff_Costs[[#All],[Role]],0),MATCH("Per-minute cost",Staff_Costs[#Headers],0))*'Per-Participant ActivitiesArm14'!C47)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ActivitiesArm14'!D48,Staff_Costs[[#All],[Role]],0),MATCH("Per-minute cost",Staff_Costs[#Headers],0))*'Per-Participant ActivitiesArm14'!C48)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ActivitiesArm14'!D49,Staff_Costs[[#All],[Role]],0),MATCH("Per-minute cost",Staff_Costs[#Headers],0))*'Per-Participant ActivitiesArm14'!C49)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ActivitiesArm14'!D50,Staff_Costs[[#All],[Role]],0),MATCH("Per-minute cost",Staff_Costs[#Headers],0))*'Per-Participant ActivitiesArm14'!C50)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ActivitiesArm14'!D51,Staff_Costs[[#All],[Role]],0),MATCH("Per-minute cost",Staff_Costs[#Headers],0))*'Per-Participant ActivitiesArm14'!C51)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ActivitiesArm14'!D52,Staff_Costs[[#All],[Role]],0),MATCH("Per-minute cost",Staff_Costs[#Headers],0))*'Per-Participant ActivitiesArm14'!C52)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ActivitiesArm14'!D53,Staff_Costs[[#All],[Role]],0),MATCH("Per-minute cost",Staff_Costs[#Headers],0))*'Per-Participant ActivitiesArm14'!C53)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ActivitiesArm14'!D54,Staff_Costs[[#All],[Role]],0),MATCH("Per-minute cost",Staff_Costs[#Headers],0))*'Per-Participant ActivitiesArm14'!C54)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ActivitiesArm14'!D55,Staff_Costs[[#All],[Role]],0),MATCH("Per-minute cost",Staff_Costs[#Headers],0))*'Per-Participant ActivitiesArm14'!C55)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ActivitiesArm14'!D56,Staff_Costs[[#All],[Role]],0),MATCH("Per-minute cost",Staff_Costs[#Headers],0))*'Per-Participant ActivitiesArm14'!C56)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ActivitiesArm14'!D57,Staff_Costs[[#All],[Role]],0),MATCH("Per-minute cost",Staff_Costs[#Headers],0))*'Per-Participant ActivitiesArm14'!C57)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ActivitiesArm14'!D58,Staff_Costs[[#All],[Role]],0),MATCH("Per-minute cost",Staff_Costs[#Headers],0))*'Per-Participant ActivitiesArm14'!C58)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ActivitiesArm14'!D59,Staff_Costs[[#All],[Role]],0),MATCH("Per-minute cost",Staff_Costs[#Headers],0))*'Per-Participant ActivitiesArm14'!C59)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ActivitiesArm14'!D60,Staff_Costs[[#All],[Role]],0),MATCH("Per-minute cost",Staff_Costs[#Headers],0))*'Per-Participant ActivitiesArm14'!C60)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ActivitiesArm14'!D61,Staff_Costs[[#All],[Role]],0),MATCH("Per-minute cost",Staff_Costs[#Headers],0))*'Per-Participant ActivitiesArm14'!C61)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ActivitiesArm14'!D62,Staff_Costs[[#All],[Role]],0),MATCH("Per-minute cost",Staff_Costs[#Headers],0))*'Per-Participant ActivitiesArm14'!C62)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ActivitiesArm14'!D63,Staff_Costs[[#All],[Role]],0),MATCH("Per-minute cost",Staff_Costs[#Headers],0))*'Per-Participant ActivitiesArm14'!C63)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ActivitiesArm14'!D64,Staff_Costs[[#All],[Role]],0),MATCH("Per-minute cost",Staff_Costs[#Headers],0))*'Per-Participant ActivitiesArm14'!C64)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ActivitiesArm14'!D65,Staff_Costs[[#All],[Role]],0),MATCH("Per-minute cost",Staff_Costs[#Headers],0))*'Per-Participant ActivitiesArm14'!C65)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ActivitiesArm14'!D66,Staff_Costs[[#All],[Role]],0),MATCH("Per-minute cost",Staff_Costs[#Headers],0))*'Per-Participant ActivitiesArm14'!C66)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ActivitiesArm14'!D67,Staff_Costs[[#All],[Role]],0),MATCH("Per-minute cost",Staff_Costs[#Headers],0))*'Per-Participant ActivitiesArm14'!C67)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ActivitiesArm14'!D68,Staff_Costs[[#All],[Role]],0),MATCH("Per-minute cost",Staff_Costs[#Headers],0))*'Per-Participant ActivitiesArm14'!C68)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ActivitiesArm14'!D69,Staff_Costs[[#All],[Role]],0),MATCH("Per-minute cost",Staff_Costs[#Headers],0))*'Per-Participant ActivitiesArm14'!C69)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ActivitiesArm14'!D70,Staff_Costs[[#All],[Role]],0),MATCH("Per-minute cost",Staff_Costs[#Headers],0))*'Per-Participant ActivitiesArm14'!C70)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ActivitiesArm14'!D71,Staff_Costs[[#All],[Role]],0),MATCH("Per-minute cost",Staff_Costs[#Headers],0))*'Per-Participant ActivitiesArm14'!C71)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ActivitiesArm14'!D72,Staff_Costs[[#All],[Role]],0),MATCH("Per-minute cost",Staff_Costs[#Headers],0))*'Per-Participant ActivitiesArm14'!C72)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ActivitiesArm14'!D73,Staff_Costs[[#All],[Role]],0),MATCH("Per-minute cost",Staff_Costs[#Headers],0))*'Per-Participant ActivitiesArm14'!C73)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ActivitiesArm14'!D74,Staff_Costs[[#All],[Role]],0),MATCH("Per-minute cost",Staff_Costs[#Headers],0))*'Per-Participant ActivitiesArm14'!C74)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ActivitiesArm14'!D75,Staff_Costs[[#All],[Role]],0),MATCH("Per-minute cost",Staff_Costs[#Headers],0))*'Per-Participant ActivitiesArm14'!C75)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ActivitiesArm14'!D76,Staff_Costs[[#All],[Role]],0),MATCH("Per-minute cost",Staff_Costs[#Headers],0))*'Per-Participant ActivitiesArm14'!C76)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ActivitiesArm14'!D77,Staff_Costs[[#All],[Role]],0),MATCH("Per-minute cost",Staff_Costs[#Headers],0))*'Per-Participant ActivitiesArm14'!C77)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ActivitiesArm14'!D78,Staff_Costs[[#All],[Role]],0),MATCH("Per-minute cost",Staff_Costs[#Headers],0))*'Per-Participant ActivitiesArm14'!C78)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ActivitiesArm14'!D79,Staff_Costs[[#All],[Role]],0),MATCH("Per-minute cost",Staff_Costs[#Headers],0))*'Per-Participant ActivitiesArm14'!C79)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ActivitiesArm14'!D80,Staff_Costs[[#All],[Role]],0),MATCH("Per-minute cost",Staff_Costs[#Headers],0))*'Per-Participant ActivitiesArm14'!C80)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ActivitiesArm14'!D81,Staff_Costs[[#All],[Role]],0),MATCH("Per-minute cost",Staff_Costs[#Headers],0))*'Per-Participant ActivitiesArm14'!C81)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ActivitiesArm14'!D82,Staff_Costs[[#All],[Role]],0),MATCH("Per-minute cost",Staff_Costs[#Headers],0))*'Per-Participant ActivitiesArm14'!C82)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ActivitiesArm14'!D83,Staff_Costs[[#All],[Role]],0),MATCH("Per-minute cost",Staff_Costs[#Headers],0))*'Per-Participant ActivitiesArm14'!C83)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ActivitiesArm14'!D84,Staff_Costs[[#All],[Role]],0),MATCH("Per-minute cost",Staff_Costs[#Headers],0))*'Per-Participant ActivitiesArm14'!C84)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ActivitiesArm14'!D85,Staff_Costs[[#All],[Role]],0),MATCH("Per-minute cost",Staff_Costs[#Headers],0))*'Per-Participant ActivitiesArm14'!C85)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ActivitiesArm14'!D86,Staff_Costs[[#All],[Role]],0),MATCH("Per-minute cost",Staff_Costs[#Headers],0))*'Per-Participant ActivitiesArm14'!C86)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ActivitiesArm14'!D87,Staff_Costs[[#All],[Role]],0),MATCH("Per-minute cost",Staff_Costs[#Headers],0))*'Per-Participant ActivitiesArm14'!C87)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ActivitiesArm14'!D88,Staff_Costs[[#All],[Role]],0),MATCH("Per-minute cost",Staff_Costs[#Headers],0))*'Per-Participant ActivitiesArm14'!C88)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ActivitiesArm14'!D89,Staff_Costs[[#All],[Role]],0),MATCH("Per-minute cost",Staff_Costs[#Headers],0))*'Per-Participant ActivitiesArm14'!C89)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ActivitiesArm14'!D90,Staff_Costs[[#All],[Role]],0),MATCH("Per-minute cost",Staff_Costs[#Headers],0))*'Per-Participant ActivitiesArm14'!C90)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ActivitiesArm14'!D91,Staff_Costs[[#All],[Role]],0),MATCH("Per-minute cost",Staff_Costs[#Headers],0))*'Per-Participant ActivitiesArm14'!C91)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ActivitiesArm14'!D92,Staff_Costs[[#All],[Role]],0),MATCH("Per-minute cost",Staff_Costs[#Headers],0))*'Per-Participant ActivitiesArm14'!C92)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ActivitiesArm14'!D93,Staff_Costs[[#All],[Role]],0),MATCH("Per-minute cost",Staff_Costs[#Headers],0))*'Per-Participant ActivitiesArm14'!C93)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ActivitiesArm14'!D94,Staff_Costs[[#All],[Role]],0),MATCH("Per-minute cost",Staff_Costs[#Headers],0))*'Per-Participant ActivitiesArm14'!C94)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ActivitiesArm14'!D95,Staff_Costs[[#All],[Role]],0),MATCH("Per-minute cost",Staff_Costs[#Headers],0))*'Per-Participant ActivitiesArm14'!C95)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ActivitiesArm14'!D96,Staff_Costs[[#All],[Role]],0),MATCH("Per-minute cost",Staff_Costs[#Headers],0))*'Per-Participant ActivitiesArm14'!C96)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ActivitiesArm14'!D97,Staff_Costs[[#All],[Role]],0),MATCH("Per-minute cost",Staff_Costs[#Headers],0))*'Per-Participant ActivitiesArm14'!C97)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ActivitiesArm14'!D98,Staff_Costs[[#All],[Role]],0),MATCH("Per-minute cost",Staff_Costs[#Headers],0))*'Per-Participant ActivitiesArm14'!C98)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ActivitiesArm14'!D99,Staff_Costs[[#All],[Role]],0),MATCH("Per-minute cost",Staff_Costs[#Headers],0))*'Per-Participant ActivitiesArm14'!C99)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ActivitiesArm14'!D100,Staff_Costs[[#All],[Role]],0),MATCH("Per-minute cost",Staff_Costs[#Headers],0))*'Per-Participant ActivitiesArm14'!C100)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ActivitiesArm14'!D101,Staff_Costs[[#All],[Role]],0),MATCH("Per-minute cost",Staff_Costs[#Headers],0))*'Per-Participant ActivitiesArm14'!C101)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ActivitiesArm14'!D102,Staff_Costs[[#All],[Role]],0),MATCH("Per-minute cost",Staff_Costs[#Headers],0))*'Per-Participant ActivitiesArm14'!C102)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ActivitiesArm14'!D103,Staff_Costs[[#All],[Role]],0),MATCH("Per-minute cost",Staff_Costs[#Headers],0))*'Per-Participant ActivitiesArm14'!C103)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ActivitiesArm14'!D104,Staff_Costs[[#All],[Role]],0),MATCH("Per-minute cost",Staff_Costs[#Headers],0))*'Per-Participant ActivitiesArm14'!C104)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ActivitiesArm14'!D105,Staff_Costs[[#All],[Role]],0),MATCH("Per-minute cost",Staff_Costs[#Headers],0))*'Per-Participant ActivitiesArm14'!C105)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ActivitiesArm14'!D106,Staff_Costs[[#All],[Role]],0),MATCH("Per-minute cost",Staff_Costs[#Headers],0))*'Per-Participant ActivitiesArm14'!C106)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ActivitiesArm14'!D107,Staff_Costs[[#All],[Role]],0),MATCH("Per-minute cost",Staff_Costs[#Headers],0))*'Per-Participant ActivitiesArm14'!C107)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ActivitiesArm14'!D108,Staff_Costs[[#All],[Role]],0),MATCH("Per-minute cost",Staff_Costs[#Headers],0))*'Per-Participant ActivitiesArm14'!C108)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ActivitiesArm14'!D109,Staff_Costs[[#All],[Role]],0),MATCH("Per-minute cost",Staff_Costs[#Headers],0))*'Per-Participant ActivitiesArm14'!C109)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ActivitiesArm14'!D110,Staff_Costs[[#All],[Role]],0),MATCH("Per-minute cost",Staff_Costs[#Headers],0))*'Per-Participant ActivitiesArm14'!C110)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uEzW1xt1mg1JFECOdTzG9Ccbzng6WkLf34HVPlnJ6OI18MQiUt5HKmLt4RQLEtPGGKTcJQUTitp1qLTh0Zo3UA==" saltValue="Hf2PAv418iJJIsNuQhmxh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28" priority="3">
      <formula>IF($AO10="investigation",TRUE,FALSE)</formula>
    </cfRule>
  </conditionalFormatting>
  <conditionalFormatting sqref="C11">
    <cfRule type="expression" dxfId="127" priority="2">
      <formula>IF($AO11="investigation",TRUE,FALSE)</formula>
    </cfRule>
  </conditionalFormatting>
  <conditionalFormatting sqref="C65:C110">
    <cfRule type="expression" dxfId="126"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INPUT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Please selection option from drop down menu" promptTitle="Undertaken by (free text)" prompt="Please provide the specific staff type, job title, etc. of the person/s who will undertake this activity, if known" sqref="E10:E110">
      <formula1>UNDERTAKEN_BY</formula1>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632</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ActivitiesArm15'!D10,Staff_Costs[[#All],[Role]],0),MATCH("Per-minute cost",Staff_Costs[#Headers],0))*'Per-Participant ActivitiesArm15'!C10)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ActivitiesArm15'!D11,Staff_Costs[[#All],[Role]],0),MATCH("Per-minute cost",Staff_Costs[#Headers],0))*'Per-Participant ActivitiesArm15'!C11)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ActivitiesArm15'!D12,Staff_Costs[[#All],[Role]],0),MATCH("Per-minute cost",Staff_Costs[#Headers],0))*'Per-Participant ActivitiesArm15'!C12)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ActivitiesArm15'!D13,Staff_Costs[[#All],[Role]],0),MATCH("Per-minute cost",Staff_Costs[#Headers],0))*'Per-Participant ActivitiesArm15'!C13)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ActivitiesArm15'!D14,Staff_Costs[[#All],[Role]],0),MATCH("Per-minute cost",Staff_Costs[#Headers],0))*'Per-Participant ActivitiesArm15'!C14)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ActivitiesArm15'!D15,Staff_Costs[[#All],[Role]],0),MATCH("Per-minute cost",Staff_Costs[#Headers],0))*'Per-Participant ActivitiesArm15'!C15)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ActivitiesArm15'!D16,Staff_Costs[[#All],[Role]],0),MATCH("Per-minute cost",Staff_Costs[#Headers],0))*'Per-Participant ActivitiesArm15'!C16)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ActivitiesArm15'!D17,Staff_Costs[[#All],[Role]],0),MATCH("Per-minute cost",Staff_Costs[#Headers],0))*'Per-Participant ActivitiesArm15'!C17)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ActivitiesArm15'!D18,Staff_Costs[[#All],[Role]],0),MATCH("Per-minute cost",Staff_Costs[#Headers],0))*'Per-Participant ActivitiesArm15'!C18)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ActivitiesArm15'!D19,Staff_Costs[[#All],[Role]],0),MATCH("Per-minute cost",Staff_Costs[#Headers],0))*'Per-Participant ActivitiesArm15'!C19)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ActivitiesArm15'!D20,Staff_Costs[[#All],[Role]],0),MATCH("Per-minute cost",Staff_Costs[#Headers],0))*'Per-Participant ActivitiesArm15'!C20)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ActivitiesArm15'!D21,Staff_Costs[[#All],[Role]],0),MATCH("Per-minute cost",Staff_Costs[#Headers],0))*'Per-Participant ActivitiesArm15'!C21)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ActivitiesArm15'!D22,Staff_Costs[[#All],[Role]],0),MATCH("Per-minute cost",Staff_Costs[#Headers],0))*'Per-Participant ActivitiesArm15'!C22)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ActivitiesArm15'!D23,Staff_Costs[[#All],[Role]],0),MATCH("Per-minute cost",Staff_Costs[#Headers],0))*'Per-Participant ActivitiesArm15'!C23)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ActivitiesArm15'!D24,Staff_Costs[[#All],[Role]],0),MATCH("Per-minute cost",Staff_Costs[#Headers],0))*'Per-Participant ActivitiesArm15'!C24)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ActivitiesArm15'!D25,Staff_Costs[[#All],[Role]],0),MATCH("Per-minute cost",Staff_Costs[#Headers],0))*'Per-Participant ActivitiesArm15'!C25)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ActivitiesArm15'!D26,Staff_Costs[[#All],[Role]],0),MATCH("Per-minute cost",Staff_Costs[#Headers],0))*'Per-Participant ActivitiesArm15'!C26)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ActivitiesArm15'!D27,Staff_Costs[[#All],[Role]],0),MATCH("Per-minute cost",Staff_Costs[#Headers],0))*'Per-Participant ActivitiesArm15'!C27)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ActivitiesArm15'!D28,Staff_Costs[[#All],[Role]],0),MATCH("Per-minute cost",Staff_Costs[#Headers],0))*'Per-Participant ActivitiesArm15'!C28)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ActivitiesArm15'!D29,Staff_Costs[[#All],[Role]],0),MATCH("Per-minute cost",Staff_Costs[#Headers],0))*'Per-Participant ActivitiesArm15'!C29)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ActivitiesArm15'!D30,Staff_Costs[[#All],[Role]],0),MATCH("Per-minute cost",Staff_Costs[#Headers],0))*'Per-Participant ActivitiesArm15'!C30)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ActivitiesArm15'!D31,Staff_Costs[[#All],[Role]],0),MATCH("Per-minute cost",Staff_Costs[#Headers],0))*'Per-Participant ActivitiesArm15'!C31)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ActivitiesArm15'!D32,Staff_Costs[[#All],[Role]],0),MATCH("Per-minute cost",Staff_Costs[#Headers],0))*'Per-Participant ActivitiesArm15'!C32)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ActivitiesArm15'!D33,Staff_Costs[[#All],[Role]],0),MATCH("Per-minute cost",Staff_Costs[#Headers],0))*'Per-Participant ActivitiesArm15'!C33)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ActivitiesArm15'!D34,Staff_Costs[[#All],[Role]],0),MATCH("Per-minute cost",Staff_Costs[#Headers],0))*'Per-Participant ActivitiesArm15'!C34)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ActivitiesArm15'!D35,Staff_Costs[[#All],[Role]],0),MATCH("Per-minute cost",Staff_Costs[#Headers],0))*'Per-Participant ActivitiesArm15'!C35)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ActivitiesArm15'!D36,Staff_Costs[[#All],[Role]],0),MATCH("Per-minute cost",Staff_Costs[#Headers],0))*'Per-Participant ActivitiesArm15'!C36)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ActivitiesArm15'!D37,Staff_Costs[[#All],[Role]],0),MATCH("Per-minute cost",Staff_Costs[#Headers],0))*'Per-Participant ActivitiesArm15'!C37)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ActivitiesArm15'!D38,Staff_Costs[[#All],[Role]],0),MATCH("Per-minute cost",Staff_Costs[#Headers],0))*'Per-Participant ActivitiesArm15'!C38)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ActivitiesArm15'!D39,Staff_Costs[[#All],[Role]],0),MATCH("Per-minute cost",Staff_Costs[#Headers],0))*'Per-Participant ActivitiesArm15'!C39)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ActivitiesArm15'!D40,Staff_Costs[[#All],[Role]],0),MATCH("Per-minute cost",Staff_Costs[#Headers],0))*'Per-Participant ActivitiesArm15'!C40)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ActivitiesArm15'!D41,Staff_Costs[[#All],[Role]],0),MATCH("Per-minute cost",Staff_Costs[#Headers],0))*'Per-Participant ActivitiesArm15'!C41)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ActivitiesArm15'!D42,Staff_Costs[[#All],[Role]],0),MATCH("Per-minute cost",Staff_Costs[#Headers],0))*'Per-Participant ActivitiesArm15'!C42)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ActivitiesArm15'!D43,Staff_Costs[[#All],[Role]],0),MATCH("Per-minute cost",Staff_Costs[#Headers],0))*'Per-Participant ActivitiesArm15'!C43)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ActivitiesArm15'!D44,Staff_Costs[[#All],[Role]],0),MATCH("Per-minute cost",Staff_Costs[#Headers],0))*'Per-Participant ActivitiesArm15'!C44)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ActivitiesArm15'!D45,Staff_Costs[[#All],[Role]],0),MATCH("Per-minute cost",Staff_Costs[#Headers],0))*'Per-Participant ActivitiesArm15'!C45)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ActivitiesArm15'!D46,Staff_Costs[[#All],[Role]],0),MATCH("Per-minute cost",Staff_Costs[#Headers],0))*'Per-Participant ActivitiesArm15'!C46)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ActivitiesArm15'!D47,Staff_Costs[[#All],[Role]],0),MATCH("Per-minute cost",Staff_Costs[#Headers],0))*'Per-Participant ActivitiesArm15'!C47)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ActivitiesArm15'!D48,Staff_Costs[[#All],[Role]],0),MATCH("Per-minute cost",Staff_Costs[#Headers],0))*'Per-Participant ActivitiesArm15'!C48)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ActivitiesArm15'!D49,Staff_Costs[[#All],[Role]],0),MATCH("Per-minute cost",Staff_Costs[#Headers],0))*'Per-Participant ActivitiesArm15'!C49)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ActivitiesArm15'!D50,Staff_Costs[[#All],[Role]],0),MATCH("Per-minute cost",Staff_Costs[#Headers],0))*'Per-Participant ActivitiesArm15'!C50)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ActivitiesArm15'!D51,Staff_Costs[[#All],[Role]],0),MATCH("Per-minute cost",Staff_Costs[#Headers],0))*'Per-Participant ActivitiesArm15'!C51)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ActivitiesArm15'!D52,Staff_Costs[[#All],[Role]],0),MATCH("Per-minute cost",Staff_Costs[#Headers],0))*'Per-Participant ActivitiesArm15'!C52)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ActivitiesArm15'!D53,Staff_Costs[[#All],[Role]],0),MATCH("Per-minute cost",Staff_Costs[#Headers],0))*'Per-Participant ActivitiesArm15'!C53)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ActivitiesArm15'!D54,Staff_Costs[[#All],[Role]],0),MATCH("Per-minute cost",Staff_Costs[#Headers],0))*'Per-Participant ActivitiesArm15'!C54)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ActivitiesArm15'!D55,Staff_Costs[[#All],[Role]],0),MATCH("Per-minute cost",Staff_Costs[#Headers],0))*'Per-Participant ActivitiesArm15'!C55)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ActivitiesArm15'!D56,Staff_Costs[[#All],[Role]],0),MATCH("Per-minute cost",Staff_Costs[#Headers],0))*'Per-Participant ActivitiesArm15'!C56)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ActivitiesArm15'!D57,Staff_Costs[[#All],[Role]],0),MATCH("Per-minute cost",Staff_Costs[#Headers],0))*'Per-Participant ActivitiesArm15'!C57)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ActivitiesArm15'!D58,Staff_Costs[[#All],[Role]],0),MATCH("Per-minute cost",Staff_Costs[#Headers],0))*'Per-Participant ActivitiesArm15'!C58)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ActivitiesArm15'!D59,Staff_Costs[[#All],[Role]],0),MATCH("Per-minute cost",Staff_Costs[#Headers],0))*'Per-Participant ActivitiesArm15'!C59)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ActivitiesArm15'!D60,Staff_Costs[[#All],[Role]],0),MATCH("Per-minute cost",Staff_Costs[#Headers],0))*'Per-Participant ActivitiesArm15'!C60)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ActivitiesArm15'!D61,Staff_Costs[[#All],[Role]],0),MATCH("Per-minute cost",Staff_Costs[#Headers],0))*'Per-Participant ActivitiesArm15'!C61)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ActivitiesArm15'!D62,Staff_Costs[[#All],[Role]],0),MATCH("Per-minute cost",Staff_Costs[#Headers],0))*'Per-Participant ActivitiesArm15'!C62)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ActivitiesArm15'!D63,Staff_Costs[[#All],[Role]],0),MATCH("Per-minute cost",Staff_Costs[#Headers],0))*'Per-Participant ActivitiesArm15'!C63)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ActivitiesArm15'!D64,Staff_Costs[[#All],[Role]],0),MATCH("Per-minute cost",Staff_Costs[#Headers],0))*'Per-Participant ActivitiesArm15'!C64)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ActivitiesArm15'!D65,Staff_Costs[[#All],[Role]],0),MATCH("Per-minute cost",Staff_Costs[#Headers],0))*'Per-Participant ActivitiesArm15'!C65)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ActivitiesArm15'!D66,Staff_Costs[[#All],[Role]],0),MATCH("Per-minute cost",Staff_Costs[#Headers],0))*'Per-Participant ActivitiesArm15'!C66)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ActivitiesArm15'!D67,Staff_Costs[[#All],[Role]],0),MATCH("Per-minute cost",Staff_Costs[#Headers],0))*'Per-Participant ActivitiesArm15'!C67)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ActivitiesArm15'!D68,Staff_Costs[[#All],[Role]],0),MATCH("Per-minute cost",Staff_Costs[#Headers],0))*'Per-Participant ActivitiesArm15'!C68)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ActivitiesArm15'!D69,Staff_Costs[[#All],[Role]],0),MATCH("Per-minute cost",Staff_Costs[#Headers],0))*'Per-Participant ActivitiesArm15'!C69)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ActivitiesArm15'!D70,Staff_Costs[[#All],[Role]],0),MATCH("Per-minute cost",Staff_Costs[#Headers],0))*'Per-Participant ActivitiesArm15'!C70)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ActivitiesArm15'!D71,Staff_Costs[[#All],[Role]],0),MATCH("Per-minute cost",Staff_Costs[#Headers],0))*'Per-Participant ActivitiesArm15'!C71)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ActivitiesArm15'!D72,Staff_Costs[[#All],[Role]],0),MATCH("Per-minute cost",Staff_Costs[#Headers],0))*'Per-Participant ActivitiesArm15'!C72)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ActivitiesArm15'!D73,Staff_Costs[[#All],[Role]],0),MATCH("Per-minute cost",Staff_Costs[#Headers],0))*'Per-Participant ActivitiesArm15'!C73)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ActivitiesArm15'!D74,Staff_Costs[[#All],[Role]],0),MATCH("Per-minute cost",Staff_Costs[#Headers],0))*'Per-Participant ActivitiesArm15'!C74)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ActivitiesArm15'!D75,Staff_Costs[[#All],[Role]],0),MATCH("Per-minute cost",Staff_Costs[#Headers],0))*'Per-Participant ActivitiesArm15'!C75)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ActivitiesArm15'!D76,Staff_Costs[[#All],[Role]],0),MATCH("Per-minute cost",Staff_Costs[#Headers],0))*'Per-Participant ActivitiesArm15'!C76)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ActivitiesArm15'!D77,Staff_Costs[[#All],[Role]],0),MATCH("Per-minute cost",Staff_Costs[#Headers],0))*'Per-Participant ActivitiesArm15'!C77)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ActivitiesArm15'!D78,Staff_Costs[[#All],[Role]],0),MATCH("Per-minute cost",Staff_Costs[#Headers],0))*'Per-Participant ActivitiesArm15'!C78)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ActivitiesArm15'!D79,Staff_Costs[[#All],[Role]],0),MATCH("Per-minute cost",Staff_Costs[#Headers],0))*'Per-Participant ActivitiesArm15'!C79)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ActivitiesArm15'!D80,Staff_Costs[[#All],[Role]],0),MATCH("Per-minute cost",Staff_Costs[#Headers],0))*'Per-Participant ActivitiesArm15'!C80)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ActivitiesArm15'!D81,Staff_Costs[[#All],[Role]],0),MATCH("Per-minute cost",Staff_Costs[#Headers],0))*'Per-Participant ActivitiesArm15'!C81)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ActivitiesArm15'!D82,Staff_Costs[[#All],[Role]],0),MATCH("Per-minute cost",Staff_Costs[#Headers],0))*'Per-Participant ActivitiesArm15'!C82)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ActivitiesArm15'!D83,Staff_Costs[[#All],[Role]],0),MATCH("Per-minute cost",Staff_Costs[#Headers],0))*'Per-Participant ActivitiesArm15'!C83)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ActivitiesArm15'!D84,Staff_Costs[[#All],[Role]],0),MATCH("Per-minute cost",Staff_Costs[#Headers],0))*'Per-Participant ActivitiesArm15'!C84)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ActivitiesArm15'!D85,Staff_Costs[[#All],[Role]],0),MATCH("Per-minute cost",Staff_Costs[#Headers],0))*'Per-Participant ActivitiesArm15'!C85)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ActivitiesArm15'!D86,Staff_Costs[[#All],[Role]],0),MATCH("Per-minute cost",Staff_Costs[#Headers],0))*'Per-Participant ActivitiesArm15'!C86)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ActivitiesArm15'!D87,Staff_Costs[[#All],[Role]],0),MATCH("Per-minute cost",Staff_Costs[#Headers],0))*'Per-Participant ActivitiesArm15'!C87)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ActivitiesArm15'!D88,Staff_Costs[[#All],[Role]],0),MATCH("Per-minute cost",Staff_Costs[#Headers],0))*'Per-Participant ActivitiesArm15'!C88)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ActivitiesArm15'!D89,Staff_Costs[[#All],[Role]],0),MATCH("Per-minute cost",Staff_Costs[#Headers],0))*'Per-Participant ActivitiesArm15'!C89)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ActivitiesArm15'!D90,Staff_Costs[[#All],[Role]],0),MATCH("Per-minute cost",Staff_Costs[#Headers],0))*'Per-Participant ActivitiesArm15'!C90)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ActivitiesArm15'!D91,Staff_Costs[[#All],[Role]],0),MATCH("Per-minute cost",Staff_Costs[#Headers],0))*'Per-Participant ActivitiesArm15'!C91)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ActivitiesArm15'!D92,Staff_Costs[[#All],[Role]],0),MATCH("Per-minute cost",Staff_Costs[#Headers],0))*'Per-Participant ActivitiesArm15'!C92)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ActivitiesArm15'!D93,Staff_Costs[[#All],[Role]],0),MATCH("Per-minute cost",Staff_Costs[#Headers],0))*'Per-Participant ActivitiesArm15'!C93)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ActivitiesArm15'!D94,Staff_Costs[[#All],[Role]],0),MATCH("Per-minute cost",Staff_Costs[#Headers],0))*'Per-Participant ActivitiesArm15'!C94)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ActivitiesArm15'!D95,Staff_Costs[[#All],[Role]],0),MATCH("Per-minute cost",Staff_Costs[#Headers],0))*'Per-Participant ActivitiesArm15'!C95)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ActivitiesArm15'!D96,Staff_Costs[[#All],[Role]],0),MATCH("Per-minute cost",Staff_Costs[#Headers],0))*'Per-Participant ActivitiesArm15'!C96)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ActivitiesArm15'!D97,Staff_Costs[[#All],[Role]],0),MATCH("Per-minute cost",Staff_Costs[#Headers],0))*'Per-Participant ActivitiesArm15'!C97)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ActivitiesArm15'!D98,Staff_Costs[[#All],[Role]],0),MATCH("Per-minute cost",Staff_Costs[#Headers],0))*'Per-Participant ActivitiesArm15'!C98)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ActivitiesArm15'!D99,Staff_Costs[[#All],[Role]],0),MATCH("Per-minute cost",Staff_Costs[#Headers],0))*'Per-Participant ActivitiesArm15'!C99)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ActivitiesArm15'!D100,Staff_Costs[[#All],[Role]],0),MATCH("Per-minute cost",Staff_Costs[#Headers],0))*'Per-Participant ActivitiesArm15'!C100)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ActivitiesArm15'!D101,Staff_Costs[[#All],[Role]],0),MATCH("Per-minute cost",Staff_Costs[#Headers],0))*'Per-Participant ActivitiesArm15'!C101)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ActivitiesArm15'!D102,Staff_Costs[[#All],[Role]],0),MATCH("Per-minute cost",Staff_Costs[#Headers],0))*'Per-Participant ActivitiesArm15'!C102)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ActivitiesArm15'!D103,Staff_Costs[[#All],[Role]],0),MATCH("Per-minute cost",Staff_Costs[#Headers],0))*'Per-Participant ActivitiesArm15'!C103)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ActivitiesArm15'!D104,Staff_Costs[[#All],[Role]],0),MATCH("Per-minute cost",Staff_Costs[#Headers],0))*'Per-Participant ActivitiesArm15'!C104)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ActivitiesArm15'!D105,Staff_Costs[[#All],[Role]],0),MATCH("Per-minute cost",Staff_Costs[#Headers],0))*'Per-Participant ActivitiesArm15'!C105)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ActivitiesArm15'!D106,Staff_Costs[[#All],[Role]],0),MATCH("Per-minute cost",Staff_Costs[#Headers],0))*'Per-Participant ActivitiesArm15'!C106)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ActivitiesArm15'!D107,Staff_Costs[[#All],[Role]],0),MATCH("Per-minute cost",Staff_Costs[#Headers],0))*'Per-Participant ActivitiesArm15'!C107)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ActivitiesArm15'!D108,Staff_Costs[[#All],[Role]],0),MATCH("Per-minute cost",Staff_Costs[#Headers],0))*'Per-Participant ActivitiesArm15'!C108)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ActivitiesArm15'!D109,Staff_Costs[[#All],[Role]],0),MATCH("Per-minute cost",Staff_Costs[#Headers],0))*'Per-Participant ActivitiesArm15'!C109)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ActivitiesArm15'!D110,Staff_Costs[[#All],[Role]],0),MATCH("Per-minute cost",Staff_Costs[#Headers],0))*'Per-Participant ActivitiesArm15'!C110)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dyen303i++/oukqc1+Qhdw6TRamPQ5OAfg2LiOVgL7YCxpVx42oDpqnrvTrW2jzo8ghU0WU3atGTcxh3doK/vw==" saltValue="3LIxxix3/lRSJXT8OI6qW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81" priority="3">
      <formula>IF($AO10="investigation",TRUE,FALSE)</formula>
    </cfRule>
  </conditionalFormatting>
  <conditionalFormatting sqref="C11">
    <cfRule type="expression" dxfId="80" priority="2">
      <formula>IF($AO11="investigation",TRUE,FALSE)</formula>
    </cfRule>
  </conditionalFormatting>
  <conditionalFormatting sqref="C65:C110">
    <cfRule type="expression" dxfId="79"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V60"/>
  <sheetViews>
    <sheetView showGridLines="0" tabSelected="1" topLeftCell="A43" zoomScaleNormal="100" workbookViewId="0">
      <selection activeCell="B54" sqref="B54"/>
    </sheetView>
  </sheetViews>
  <sheetFormatPr defaultColWidth="9.140625" defaultRowHeight="15" x14ac:dyDescent="0.25"/>
  <cols>
    <col min="1" max="1" width="3.28515625" style="45" customWidth="1"/>
    <col min="2" max="2" width="45.7109375" style="45" customWidth="1"/>
    <col min="3" max="8" width="19" style="49" customWidth="1"/>
    <col min="9" max="18" width="19" style="49" hidden="1" customWidth="1"/>
    <col min="19" max="19" width="22" style="46" customWidth="1"/>
    <col min="20" max="20" width="30.42578125" style="45" customWidth="1"/>
    <col min="21" max="21" width="27.7109375" style="216" customWidth="1"/>
    <col min="22" max="16384" width="9.140625" style="45"/>
  </cols>
  <sheetData>
    <row r="1" spans="1:22" x14ac:dyDescent="0.25">
      <c r="A1" s="64"/>
      <c r="B1" s="64"/>
      <c r="C1" s="47"/>
      <c r="D1" s="47"/>
      <c r="E1" s="65"/>
      <c r="F1" s="65"/>
      <c r="G1" s="65"/>
      <c r="H1" s="65"/>
      <c r="I1" s="65"/>
      <c r="J1" s="65"/>
      <c r="K1" s="65"/>
      <c r="L1" s="65"/>
      <c r="M1" s="65"/>
      <c r="N1" s="65"/>
      <c r="O1" s="65"/>
      <c r="P1" s="65"/>
      <c r="Q1" s="65"/>
      <c r="R1" s="65"/>
      <c r="S1" s="66"/>
      <c r="T1" s="248"/>
    </row>
    <row r="2" spans="1:22" x14ac:dyDescent="0.25">
      <c r="A2" s="64"/>
      <c r="B2" s="64"/>
      <c r="C2" s="48"/>
      <c r="D2" s="48"/>
      <c r="E2" s="65"/>
      <c r="F2" s="65"/>
      <c r="G2" s="65"/>
      <c r="H2" s="65"/>
      <c r="I2" s="65"/>
      <c r="J2" s="65"/>
      <c r="K2" s="65"/>
      <c r="L2" s="65"/>
      <c r="M2" s="65"/>
      <c r="N2" s="65"/>
      <c r="O2" s="65"/>
      <c r="P2" s="65"/>
      <c r="Q2" s="65"/>
      <c r="R2" s="65"/>
      <c r="S2" s="66"/>
      <c r="T2" s="249"/>
    </row>
    <row r="3" spans="1:22" x14ac:dyDescent="0.25">
      <c r="A3" s="172"/>
      <c r="B3" s="64"/>
      <c r="C3" s="65"/>
      <c r="D3" s="65"/>
      <c r="E3" s="65"/>
      <c r="F3" s="65"/>
      <c r="G3" s="65"/>
      <c r="H3" s="65"/>
      <c r="I3" s="65"/>
      <c r="J3" s="65"/>
      <c r="K3" s="65"/>
      <c r="L3" s="65"/>
      <c r="M3" s="65"/>
      <c r="N3" s="65"/>
      <c r="O3" s="65"/>
      <c r="P3" s="65"/>
      <c r="Q3" s="65"/>
      <c r="R3" s="65"/>
      <c r="S3" s="66"/>
      <c r="T3" s="64"/>
    </row>
    <row r="4" spans="1:22" ht="139.5" customHeight="1" x14ac:dyDescent="0.25">
      <c r="A4" s="172"/>
      <c r="B4" s="64"/>
      <c r="C4" s="65"/>
      <c r="D4" s="65"/>
      <c r="E4" s="65"/>
      <c r="F4" s="65"/>
      <c r="G4" s="65"/>
      <c r="H4" s="65"/>
      <c r="I4" s="65"/>
      <c r="J4" s="65"/>
      <c r="K4" s="65"/>
      <c r="L4" s="65"/>
      <c r="M4" s="65"/>
      <c r="N4" s="65"/>
      <c r="O4" s="65"/>
      <c r="P4" s="65"/>
      <c r="Q4" s="65"/>
      <c r="R4" s="65"/>
      <c r="S4" s="66"/>
      <c r="T4" s="64"/>
    </row>
    <row r="5" spans="1:22" ht="55.5" customHeight="1" x14ac:dyDescent="0.25">
      <c r="A5" s="172"/>
      <c r="B5" s="64"/>
      <c r="C5" s="65"/>
      <c r="D5" s="65"/>
      <c r="E5" s="65"/>
      <c r="F5" s="65"/>
      <c r="G5" s="65"/>
      <c r="H5" s="65"/>
      <c r="I5" s="65"/>
      <c r="J5" s="65"/>
      <c r="K5" s="65"/>
      <c r="L5" s="65"/>
      <c r="M5" s="65"/>
      <c r="N5" s="65"/>
      <c r="O5" s="65"/>
      <c r="P5" s="65"/>
      <c r="Q5" s="65"/>
      <c r="R5" s="65"/>
      <c r="S5" s="64"/>
      <c r="T5" s="64"/>
    </row>
    <row r="6" spans="1:22" ht="29.25" customHeight="1" x14ac:dyDescent="0.25">
      <c r="A6" s="172"/>
      <c r="B6" s="611" t="s">
        <v>221</v>
      </c>
      <c r="C6" s="611"/>
      <c r="D6" s="611"/>
      <c r="E6" s="611"/>
      <c r="F6" s="611"/>
      <c r="G6" s="611"/>
      <c r="H6" s="611"/>
      <c r="I6" s="611"/>
      <c r="J6" s="611"/>
      <c r="K6" s="611"/>
      <c r="L6" s="611"/>
      <c r="M6" s="611"/>
      <c r="N6" s="611"/>
      <c r="O6" s="611"/>
      <c r="P6" s="611"/>
      <c r="Q6" s="611"/>
      <c r="R6" s="611"/>
      <c r="S6" s="611"/>
      <c r="T6" s="486"/>
    </row>
    <row r="7" spans="1:22" ht="29.25" customHeight="1" x14ac:dyDescent="0.25">
      <c r="A7" s="172"/>
      <c r="B7" s="483"/>
      <c r="C7" s="483" t="s">
        <v>352</v>
      </c>
      <c r="D7" s="483" t="s">
        <v>353</v>
      </c>
      <c r="E7" s="483" t="s">
        <v>354</v>
      </c>
      <c r="F7" s="483" t="s">
        <v>355</v>
      </c>
      <c r="G7" s="483" t="s">
        <v>356</v>
      </c>
      <c r="H7" s="483" t="s">
        <v>357</v>
      </c>
      <c r="I7" s="511" t="s">
        <v>633</v>
      </c>
      <c r="J7" s="511" t="s">
        <v>634</v>
      </c>
      <c r="K7" s="511" t="s">
        <v>635</v>
      </c>
      <c r="L7" s="511" t="s">
        <v>636</v>
      </c>
      <c r="M7" s="511" t="s">
        <v>637</v>
      </c>
      <c r="N7" s="511" t="s">
        <v>638</v>
      </c>
      <c r="O7" s="511" t="s">
        <v>639</v>
      </c>
      <c r="P7" s="511" t="s">
        <v>640</v>
      </c>
      <c r="Q7" s="511" t="s">
        <v>641</v>
      </c>
      <c r="R7" s="511" t="s">
        <v>642</v>
      </c>
      <c r="S7" s="253" t="s">
        <v>579</v>
      </c>
      <c r="T7" s="64"/>
    </row>
    <row r="8" spans="1:22" x14ac:dyDescent="0.25">
      <c r="A8" s="172"/>
      <c r="B8" s="169" t="s">
        <v>147</v>
      </c>
      <c r="C8" s="251"/>
      <c r="D8" s="252" t="str">
        <f>IF('Study Information'!$B$11="No","Not Applicable",SUMIF(Arm_1_Research_Cost_Part_A,"&lt;&gt;#N/A"))</f>
        <v>Not Applicable</v>
      </c>
      <c r="E8" s="252" t="str">
        <f>IF('Study Information'!$B$11="No","Not Applicable",SUMIF(Arm_2_Research_Cost_Part_A,"&lt;&gt;#N/A"))</f>
        <v>Not Applicable</v>
      </c>
      <c r="F8" s="252" t="str">
        <f>IF('Study Information'!$B$11="No","Not Applicable",SUMIF(Arm_3_Research_Cost_Part_A,"&lt;&gt;#N/A"))</f>
        <v>Not Applicable</v>
      </c>
      <c r="G8" s="252" t="str">
        <f>IF('Study Information'!$B$11="No","Not Applicable",SUMIF(Arm_4_Research_Cost_Part_A,"&lt;&gt;#N/A"))</f>
        <v>Not Applicable</v>
      </c>
      <c r="H8" s="252" t="str">
        <f>IF('Study Information'!$B$11="No","Not Applicable",SUMIF(Arm_5_Research_Cost_Part_A,"&lt;&gt;#N/A"))</f>
        <v>Not Applicable</v>
      </c>
      <c r="I8" s="252" t="str">
        <f>IF('Study Information'!$B$11="No","Not Applicable",SUMIF(Arm_6_Research_Cost_Part_A,"&lt;&gt;#N/A"))</f>
        <v>Not Applicable</v>
      </c>
      <c r="J8" s="252" t="str">
        <f>IF('Study Information'!$B$11="No","Not Applicable",SUMIF(Arm_7_Research_Cost_Part_A,"&lt;&gt;#N/A"))</f>
        <v>Not Applicable</v>
      </c>
      <c r="K8" s="252" t="str">
        <f>IF('Study Information'!$B$11="No","Not Applicable",SUMIF(Arm_8_Research_Cost_Part_A,"&lt;&gt;#N/A"))</f>
        <v>Not Applicable</v>
      </c>
      <c r="L8" s="252" t="str">
        <f>IF('Study Information'!$B$11="No","Not Applicable",SUMIF(Arm_9_Research_Cost_Part_A,"&lt;&gt;#N/A"))</f>
        <v>Not Applicable</v>
      </c>
      <c r="M8" s="252" t="str">
        <f>IF('Study Information'!$B$11="No","Not Applicable",SUMIF(Arm_10_Research_Cost_Part_A,"&lt;&gt;#N/A"))</f>
        <v>Not Applicable</v>
      </c>
      <c r="N8" s="252" t="str">
        <f>IF('Study Information'!$B$11="No","Not Applicable",SUMIF(Arm_11_Research_Cost_Part_A,"&lt;&gt;#N/A"))</f>
        <v>Not Applicable</v>
      </c>
      <c r="O8" s="252" t="str">
        <f>IF('Study Information'!$B$11="No","Not Applicable",SUMIF(Arm_12_Research_Cost_Part_A,"&lt;&gt;#N/A"))</f>
        <v>Not Applicable</v>
      </c>
      <c r="P8" s="252" t="str">
        <f>IF('Study Information'!$B$11="No","Not Applicable",SUMIF(Arm_13_Research_Cost_Part_A,"&lt;&gt;#N/A"))</f>
        <v>Not Applicable</v>
      </c>
      <c r="Q8" s="252" t="str">
        <f>IF('Study Information'!$B$11="No","Not Applicable",SUMIF(Arm_14_Research_Cost_Part_A,"&lt;&gt;#N/A"))</f>
        <v>Not Applicable</v>
      </c>
      <c r="R8" s="252" t="str">
        <f>IF('Study Information'!$B$11="No","Not Applicable",SUMIF(Arm_15_Research_Cost_Part_A,"&lt;&gt;#N/A"))</f>
        <v>Not Applicable</v>
      </c>
      <c r="S8" s="439"/>
      <c r="T8" s="608" t="s">
        <v>255</v>
      </c>
    </row>
    <row r="9" spans="1:22" x14ac:dyDescent="0.25">
      <c r="A9" s="172"/>
      <c r="B9" s="169" t="s">
        <v>148</v>
      </c>
      <c r="C9" s="251"/>
      <c r="D9" s="252" t="str">
        <f>IF('Study Information'!$B$11="No","Not Applicable",SUMIF(Arm_1_Research_Cost_Part_B,"&lt;&gt;#N/A"))</f>
        <v>Not Applicable</v>
      </c>
      <c r="E9" s="252" t="str">
        <f>IF('Study Information'!$B$11="No","Not Applicable",SUMIF(Arm_2_Research_Cost_Part_B,"&lt;&gt;#N/A"))</f>
        <v>Not Applicable</v>
      </c>
      <c r="F9" s="252" t="str">
        <f>IF('Study Information'!$B$11="No","Not Applicable",SUMIF(Arm_3_Research_Cost_Part_B,"&lt;&gt;#N/A"))</f>
        <v>Not Applicable</v>
      </c>
      <c r="G9" s="252" t="str">
        <f>IF('Study Information'!$B$11="No","Not Applicable",SUMIF(Arm_4_Research_Cost_Part_B,"&lt;&gt;#N/A"))</f>
        <v>Not Applicable</v>
      </c>
      <c r="H9" s="252" t="str">
        <f>IF('Study Information'!$B$11="No","Not Applicable",SUMIF(Arm_5_Research_Cost_Part_B,"&lt;&gt;#N/A"))</f>
        <v>Not Applicable</v>
      </c>
      <c r="I9" s="252" t="str">
        <f>IF('Study Information'!$B$11="No","Not Applicable",SUMIF(Arm_6_Research_Cost_Part_B,"&lt;&gt;#N/A"))</f>
        <v>Not Applicable</v>
      </c>
      <c r="J9" s="252" t="str">
        <f>IF('Study Information'!$B$11="No","Not Applicable",SUMIF(Arm_7_Research_Cost_Part_B,"&lt;&gt;#N/A"))</f>
        <v>Not Applicable</v>
      </c>
      <c r="K9" s="252" t="str">
        <f>IF('Study Information'!$B$11="No","Not Applicable",SUMIF(Arm_8_Research_Cost_Part_B,"&lt;&gt;#N/A"))</f>
        <v>Not Applicable</v>
      </c>
      <c r="L9" s="252" t="str">
        <f>IF('Study Information'!$B$11="No","Not Applicable",SUMIF(Arm_9_Research_Cost_Part_B,"&lt;&gt;#N/A"))</f>
        <v>Not Applicable</v>
      </c>
      <c r="M9" s="252" t="str">
        <f>IF('Study Information'!$B$11="No","Not Applicable",SUMIF(Arm_10_Research_Cost_Part_B,"&lt;&gt;#N/A"))</f>
        <v>Not Applicable</v>
      </c>
      <c r="N9" s="252" t="str">
        <f>IF('Study Information'!$B$11="No","Not Applicable",SUMIF(Arm_11_Research_Cost_Part_B,"&lt;&gt;#N/A"))</f>
        <v>Not Applicable</v>
      </c>
      <c r="O9" s="252" t="str">
        <f>IF('Study Information'!$B$11="No","Not Applicable",SUMIF(Arm_12_Research_Cost_Part_B,"&lt;&gt;#N/A"))</f>
        <v>Not Applicable</v>
      </c>
      <c r="P9" s="252" t="str">
        <f>IF('Study Information'!$B$11="No","Not Applicable",SUMIF(Arm_13_Research_Cost_Part_B,"&lt;&gt;#N/A"))</f>
        <v>Not Applicable</v>
      </c>
      <c r="Q9" s="252" t="str">
        <f>IF('Study Information'!$B$11="No","Not Applicable",SUMIF(Arm_14_Research_Cost_Part_B,"&lt;&gt;#N/A"))</f>
        <v>Not Applicable</v>
      </c>
      <c r="R9" s="252" t="str">
        <f>IF('Study Information'!$B$11="No","Not Applicable",SUMIF(Arm_15_Research_Cost_Part_B,"&lt;&gt;#N/A"))</f>
        <v>Not Applicable</v>
      </c>
      <c r="S9" s="439"/>
      <c r="T9" s="608"/>
    </row>
    <row r="10" spans="1:22" x14ac:dyDescent="0.25">
      <c r="A10" s="172"/>
      <c r="B10" s="169" t="s">
        <v>346</v>
      </c>
      <c r="C10" s="251"/>
      <c r="D10" s="252">
        <f>IF('Study Information'!$B$11="Yes","Not Applicable",SUMIF(Arm_1_Research_Cost,"&lt;&gt;#N/A"))</f>
        <v>0.35</v>
      </c>
      <c r="E10" s="252">
        <f>IF('Study Information'!$B$11="Yes","Not Applicable",SUMIF(Arm_2_Research_Cost,"&lt;&gt;#N/A"))</f>
        <v>0.35</v>
      </c>
      <c r="F10" s="252">
        <f>IF('Study Information'!$B$11="Yes","Not Applicable",SUMIF(Arm_3_Research_Cost,"&lt;&gt;#N/A"))</f>
        <v>0.35</v>
      </c>
      <c r="G10" s="252">
        <f>IF('Study Information'!$B$11="Yes","Not Applicable",SUMIF(Arm_4_Research_Cost,"&lt;&gt;#N/A"))</f>
        <v>0</v>
      </c>
      <c r="H10" s="252">
        <f>IF('Study Information'!$B$11="Yes","Not Applicable",SUMIF(Arm_5_Research_Cost,"&lt;&gt;#N/A"))</f>
        <v>0</v>
      </c>
      <c r="I10" s="252">
        <f>IF('Study Information'!$B$11="Yes","Not Applicable",SUMIF(Arm_6_Research_Cost,"&lt;&gt;#N/A"))</f>
        <v>0</v>
      </c>
      <c r="J10" s="252">
        <f>IF('Study Information'!$B$11="Yes","Not Applicable",SUMIF(Arm_7_Research_Cost,"&lt;&gt;#N/A"))</f>
        <v>0</v>
      </c>
      <c r="K10" s="252">
        <f>IF('Study Information'!$B$11="Yes","Not Applicable",SUMIF(Arm_8_Research_Cost,"&lt;&gt;#N/A"))</f>
        <v>0</v>
      </c>
      <c r="L10" s="252">
        <f>IF('Study Information'!$B$11="Yes","Not Applicable",SUMIF(Arm_9_Research_Cost,"&lt;&gt;#N/A"))</f>
        <v>0</v>
      </c>
      <c r="M10" s="252">
        <f>IF('Study Information'!$B$11="Yes","Not Applicable",SUMIF(Arm_10_Research_Cost,"&lt;&gt;#N/A"))</f>
        <v>0</v>
      </c>
      <c r="N10" s="252">
        <f>IF('Study Information'!$B$11="Yes","Not Applicable",SUMIF(Arm_11_Research_Cost,"&lt;&gt;#N/A"))</f>
        <v>0</v>
      </c>
      <c r="O10" s="252">
        <f>IF('Study Information'!$B$11="Yes","Not Applicable",SUMIF(Arm_12_Research_Cost,"&lt;&gt;#N/A"))</f>
        <v>0</v>
      </c>
      <c r="P10" s="252">
        <f>IF('Study Information'!$B$11="Yes","Not Applicable",SUMIF(Arm_13_Research_Cost,"&lt;&gt;#N/A"))</f>
        <v>0</v>
      </c>
      <c r="Q10" s="252">
        <f>IF('Study Information'!$B$11="Yes","Not Applicable",SUMIF(Arm_14_Research_Cost,"&lt;&gt;#N/A"))</f>
        <v>0</v>
      </c>
      <c r="R10" s="252">
        <f>IF('Study Information'!$B$11="Yes","Not Applicable",SUMIF(Arm_15_Research_Cost,"&lt;&gt;#N/A"))</f>
        <v>0</v>
      </c>
      <c r="S10" s="439"/>
      <c r="T10" s="608"/>
    </row>
    <row r="11" spans="1:22" x14ac:dyDescent="0.25">
      <c r="A11" s="172"/>
      <c r="B11" s="169" t="s">
        <v>149</v>
      </c>
      <c r="C11" s="251"/>
      <c r="D11" s="252">
        <f>SUMIF(Arm_1_Service_Support_Cost,"&lt;&gt;#N/A")</f>
        <v>14.7</v>
      </c>
      <c r="E11" s="252">
        <f>SUMIF(Arm_2_Service_Support_Cost,"&lt;&gt;#N/A")</f>
        <v>14.7</v>
      </c>
      <c r="F11" s="252">
        <f>SUMIF(Arm_3_Service_Support_Cost,"&lt;&gt;#N/A")</f>
        <v>14.7</v>
      </c>
      <c r="G11" s="252">
        <f>SUMIF(Arm_4_Service_Support_Cost,"&lt;&gt;#N/A")</f>
        <v>0</v>
      </c>
      <c r="H11" s="252">
        <f>SUMIF(Arm_5_Service_Support_Cost,"&lt;&gt;#N/A")</f>
        <v>0</v>
      </c>
      <c r="I11" s="252">
        <f>SUMIF(Arm_6_Service_Support_Cost,"&lt;&gt;#N/A")</f>
        <v>0</v>
      </c>
      <c r="J11" s="252">
        <f>SUMIF(Arm_7_Service_Support_Cost,"&lt;&gt;#N/A")</f>
        <v>0</v>
      </c>
      <c r="K11" s="252">
        <f>SUMIF(Arm_8_Service_Support_Cost,"&lt;&gt;#N/A")</f>
        <v>0</v>
      </c>
      <c r="L11" s="252">
        <f>SUMIF(Arm_9_Service_Support_Cost,"&lt;&gt;#N/A")</f>
        <v>0</v>
      </c>
      <c r="M11" s="252">
        <f>SUMIF(Arm_10_Service_Support_Cost,"&lt;&gt;#N/A")</f>
        <v>0</v>
      </c>
      <c r="N11" s="252">
        <f>SUMIF(Arm_11_Service_Support_Cost,"&lt;&gt;#N/A")</f>
        <v>0</v>
      </c>
      <c r="O11" s="252">
        <f>SUMIF(Arm_12_Service_Support_Cost,"&lt;&gt;#N/A")</f>
        <v>0</v>
      </c>
      <c r="P11" s="252">
        <f>SUMIF(Arm_13_Service_Support_Cost,"&lt;&gt;#N/A")</f>
        <v>0</v>
      </c>
      <c r="Q11" s="252">
        <f>SUMIF(Arm_14_Service_Support_Cost,"&lt;&gt;#N/A")</f>
        <v>0</v>
      </c>
      <c r="R11" s="252">
        <f>SUMIF(Arm_15_Service_Support_Cost,"&lt;&gt;#N/A")</f>
        <v>0</v>
      </c>
      <c r="S11" s="439"/>
      <c r="T11" s="608"/>
    </row>
    <row r="12" spans="1:22" x14ac:dyDescent="0.25">
      <c r="A12" s="172"/>
      <c r="B12" s="169" t="s">
        <v>150</v>
      </c>
      <c r="C12" s="252">
        <f>Standard_of_care_cost</f>
        <v>14.7</v>
      </c>
      <c r="D12" s="252">
        <f>SUMIF(Arm_1_Treatment_Cost,"&lt;&gt;#N/A")</f>
        <v>0</v>
      </c>
      <c r="E12" s="252">
        <f>SUMIF(Arm_2_Treatment_Cost,"&lt;&gt;#N/A")</f>
        <v>7.35</v>
      </c>
      <c r="F12" s="252">
        <f>SUMIF(Arm_3_Treatment_Cost,"&lt;&gt;#N/A")</f>
        <v>7.35</v>
      </c>
      <c r="G12" s="252">
        <f>SUMIF(Arm_4_Treatment_Cost,"&lt;&gt;#N/A")</f>
        <v>0</v>
      </c>
      <c r="H12" s="252">
        <f>SUMIF(Arm_5_Treatment_Cost,"&lt;&gt;#N/A")</f>
        <v>0</v>
      </c>
      <c r="I12" s="252">
        <f>SUMIF(Arm_6_Treatment_Cost,"&lt;&gt;#N/A")</f>
        <v>0</v>
      </c>
      <c r="J12" s="252">
        <f>SUMIF(Arm_7_Treatment_Cost,"&lt;&gt;#N/A")</f>
        <v>0</v>
      </c>
      <c r="K12" s="252">
        <f>SUMIF(Arm_8_Treatment_Cost,"&lt;&gt;#N/A")</f>
        <v>0</v>
      </c>
      <c r="L12" s="252">
        <f>SUMIF(Arm_9_Treatment_Cost,"&lt;&gt;#N/A")</f>
        <v>0</v>
      </c>
      <c r="M12" s="252">
        <f>SUMIF(Arm_10_Treatment_Cost,"&lt;&gt;#N/A")</f>
        <v>0</v>
      </c>
      <c r="N12" s="252">
        <f>SUMIF(Arm_11_Treatment_Cost,"&lt;&gt;#N/A")</f>
        <v>0</v>
      </c>
      <c r="O12" s="252">
        <f>SUMIF(Arm_12_Treatment_Cost,"&lt;&gt;#N/A")</f>
        <v>0</v>
      </c>
      <c r="P12" s="252">
        <f>SUMIF(Arm_13_Treatment_Cost,"&lt;&gt;#N/A")</f>
        <v>0</v>
      </c>
      <c r="Q12" s="252">
        <f>SUMIF(Arm_14_Treatment_Cost,"&lt;&gt;#N/A")</f>
        <v>0</v>
      </c>
      <c r="R12" s="252">
        <f>SUMIF(Arm_15_Treatment_Cost,"&lt;&gt;#N/A")</f>
        <v>0</v>
      </c>
      <c r="S12" s="439"/>
      <c r="T12" s="608"/>
    </row>
    <row r="13" spans="1:22" ht="29.25" thickBot="1" x14ac:dyDescent="0.3">
      <c r="A13" s="172"/>
      <c r="B13" s="212" t="s">
        <v>580</v>
      </c>
      <c r="C13" s="177"/>
      <c r="D13" s="482">
        <f>IF(Number_of_Study_Arms&lt;1,0,SUMIF(Arm_1_Treatment_Cost,"&lt;&gt;#N/A")-Standard_of_care_cost)</f>
        <v>-14.7</v>
      </c>
      <c r="E13" s="482">
        <f>IF(Number_of_Study_Arms&lt;2,0,SUMIF(Arm_2_Treatment_Cost,"&lt;&gt;#N/A")-Standard_of_care_cost)</f>
        <v>-7.35</v>
      </c>
      <c r="F13" s="482">
        <f>IF(Number_of_Study_Arms&lt;3,0,SUMIF(Arm_3_Treatment_Cost,"&lt;&gt;#N/A")-Standard_of_care_cost)</f>
        <v>0</v>
      </c>
      <c r="G13" s="482">
        <f>IF(Number_of_Study_Arms&lt;4,0,SUMIF(Arm_4_Treatment_Cost,"&lt;&gt;#N/A")-Standard_of_care_cost)</f>
        <v>0</v>
      </c>
      <c r="H13" s="188">
        <f>IF(Number_of_Study_Arms&lt;5,0,SUMIF(Arm_5_Treatment_Cost,"&lt;&gt;#N/A")-Standard_of_care_cost)</f>
        <v>0</v>
      </c>
      <c r="I13" s="188">
        <f>IF(Number_of_Study_Arms&lt;6,0,SUMIF(Arm_6_Treatment_Cost,"&lt;&gt;#N/A")-Standard_of_care_cost)</f>
        <v>0</v>
      </c>
      <c r="J13" s="188">
        <f>IF(Number_of_Study_Arms&lt;7,0,SUMIF(Arm_7_Treatment_Cost,"&lt;&gt;#N/A")-Standard_of_care_cost)</f>
        <v>0</v>
      </c>
      <c r="K13" s="188">
        <f>IF(Number_of_Study_Arms&lt;8,0,SUMIF(Arm_8_Treatment_Cost,"&lt;&gt;#N/A")-Standard_of_care_cost)</f>
        <v>0</v>
      </c>
      <c r="L13" s="188">
        <f>IF(Number_of_Study_Arms&lt;9,0,SUMIF(Arm_9_Treatment_Cost,"&lt;&gt;#N/A")-Standard_of_care_cost)</f>
        <v>0</v>
      </c>
      <c r="M13" s="188">
        <f>IF(Number_of_Study_Arms&lt;10,0,SUMIF(Arm_10_Treatment_Cost,"&lt;&gt;#N/A")-Standard_of_care_cost)</f>
        <v>0</v>
      </c>
      <c r="N13" s="188">
        <f>IF(Number_of_Study_Arms&lt;11,0,SUMIF(Arm_11_Treatment_Cost,"&lt;&gt;#N/A")-Standard_of_care_cost)</f>
        <v>0</v>
      </c>
      <c r="O13" s="188">
        <f>IF(Number_of_Study_Arms&lt;12,0,SUMIF(Arm_12_Treatment_Cost,"&lt;&gt;#N/A")-Standard_of_care_cost)</f>
        <v>0</v>
      </c>
      <c r="P13" s="188">
        <f>IF(Number_of_Study_Arms&lt;13,0,SUMIF(Arm_13_Treatment_Cost,"&lt;&gt;#N/A")-Standard_of_care_cost)</f>
        <v>0</v>
      </c>
      <c r="Q13" s="188">
        <f>IF(Number_of_Study_Arms&lt;14,0,SUMIF(Arm_14_Treatment_Cost,"&lt;&gt;#N/A")-Standard_of_care_cost)</f>
        <v>0</v>
      </c>
      <c r="R13" s="188">
        <f>IF(Number_of_Study_Arms&lt;15,0,SUMIF(Arm_15_Treatment_Cost,"&lt;&gt;#N/A")-Standard_of_care_cost)</f>
        <v>0</v>
      </c>
      <c r="S13" s="438">
        <f>IFERROR((SUM(D24:R24)/Sum_total_all_participants),0)</f>
        <v>-7.35</v>
      </c>
      <c r="T13" s="608"/>
    </row>
    <row r="14" spans="1:22" ht="15.75" thickTop="1" x14ac:dyDescent="0.25">
      <c r="A14" s="172"/>
      <c r="B14" s="213" t="s">
        <v>581</v>
      </c>
      <c r="C14" s="175"/>
      <c r="D14" s="176">
        <f t="shared" ref="D14:R14" si="0">SUM(D8:D11)+D13</f>
        <v>0.34999999999999964</v>
      </c>
      <c r="E14" s="176">
        <f t="shared" si="0"/>
        <v>7.6999999999999993</v>
      </c>
      <c r="F14" s="176">
        <f t="shared" si="0"/>
        <v>15.049999999999999</v>
      </c>
      <c r="G14" s="176">
        <f t="shared" si="0"/>
        <v>0</v>
      </c>
      <c r="H14" s="176">
        <f t="shared" si="0"/>
        <v>0</v>
      </c>
      <c r="I14" s="176">
        <f t="shared" si="0"/>
        <v>0</v>
      </c>
      <c r="J14" s="176">
        <f t="shared" si="0"/>
        <v>0</v>
      </c>
      <c r="K14" s="176">
        <f t="shared" si="0"/>
        <v>0</v>
      </c>
      <c r="L14" s="176">
        <f t="shared" si="0"/>
        <v>0</v>
      </c>
      <c r="M14" s="176">
        <f t="shared" si="0"/>
        <v>0</v>
      </c>
      <c r="N14" s="176">
        <f t="shared" si="0"/>
        <v>0</v>
      </c>
      <c r="O14" s="176">
        <f t="shared" si="0"/>
        <v>0</v>
      </c>
      <c r="P14" s="176">
        <f t="shared" si="0"/>
        <v>0</v>
      </c>
      <c r="Q14" s="176">
        <f t="shared" si="0"/>
        <v>0</v>
      </c>
      <c r="R14" s="176">
        <f t="shared" si="0"/>
        <v>0</v>
      </c>
      <c r="S14" s="440"/>
      <c r="T14" s="64"/>
      <c r="V14" s="45" t="s">
        <v>496</v>
      </c>
    </row>
    <row r="15" spans="1:22" ht="29.25" customHeight="1" x14ac:dyDescent="0.25">
      <c r="A15" s="172"/>
      <c r="B15" s="485"/>
      <c r="C15" s="171"/>
      <c r="D15" s="173"/>
      <c r="E15" s="170"/>
      <c r="F15" s="170"/>
      <c r="G15" s="170"/>
      <c r="H15" s="170"/>
      <c r="I15" s="170"/>
      <c r="J15" s="170"/>
      <c r="K15" s="170"/>
      <c r="L15" s="170"/>
      <c r="M15" s="170"/>
      <c r="N15" s="170"/>
      <c r="O15" s="170"/>
      <c r="P15" s="170"/>
      <c r="Q15" s="170"/>
      <c r="R15" s="170"/>
      <c r="S15" s="68"/>
      <c r="T15" s="64"/>
    </row>
    <row r="16" spans="1:22" ht="29.25" customHeight="1" x14ac:dyDescent="0.25">
      <c r="A16" s="172"/>
      <c r="B16" s="612" t="s">
        <v>358</v>
      </c>
      <c r="C16" s="613"/>
      <c r="D16" s="613"/>
      <c r="E16" s="613"/>
      <c r="F16" s="613"/>
      <c r="G16" s="613"/>
      <c r="H16" s="613"/>
      <c r="I16" s="613"/>
      <c r="J16" s="613"/>
      <c r="K16" s="613"/>
      <c r="L16" s="613"/>
      <c r="M16" s="613"/>
      <c r="N16" s="613"/>
      <c r="O16" s="613"/>
      <c r="P16" s="613"/>
      <c r="Q16" s="613"/>
      <c r="R16" s="614"/>
      <c r="S16" s="486"/>
      <c r="T16" s="64"/>
    </row>
    <row r="17" spans="1:21" ht="29.25" customHeight="1" x14ac:dyDescent="0.25">
      <c r="A17" s="172"/>
      <c r="B17" s="250"/>
      <c r="C17" s="253" t="s">
        <v>360</v>
      </c>
      <c r="D17" s="250" t="s">
        <v>353</v>
      </c>
      <c r="E17" s="250" t="s">
        <v>354</v>
      </c>
      <c r="F17" s="250" t="s">
        <v>355</v>
      </c>
      <c r="G17" s="250" t="s">
        <v>356</v>
      </c>
      <c r="H17" s="250" t="s">
        <v>357</v>
      </c>
      <c r="I17" s="511" t="s">
        <v>633</v>
      </c>
      <c r="J17" s="511" t="s">
        <v>634</v>
      </c>
      <c r="K17" s="511" t="s">
        <v>635</v>
      </c>
      <c r="L17" s="511" t="s">
        <v>636</v>
      </c>
      <c r="M17" s="511" t="s">
        <v>637</v>
      </c>
      <c r="N17" s="511" t="s">
        <v>638</v>
      </c>
      <c r="O17" s="511" t="s">
        <v>639</v>
      </c>
      <c r="P17" s="511" t="s">
        <v>640</v>
      </c>
      <c r="Q17" s="511" t="s">
        <v>641</v>
      </c>
      <c r="R17" s="511" t="s">
        <v>642</v>
      </c>
      <c r="S17" s="68"/>
      <c r="T17" s="64"/>
    </row>
    <row r="18" spans="1:21" s="172" customFormat="1" x14ac:dyDescent="0.25">
      <c r="B18" s="254" t="s">
        <v>359</v>
      </c>
      <c r="C18" s="499">
        <f>SUM(D18:R18)</f>
        <v>4500</v>
      </c>
      <c r="D18" s="255">
        <f>Arm_1_Number_of_Participants</f>
        <v>1500</v>
      </c>
      <c r="E18" s="255">
        <f>Arm_2_Number_of_Participants</f>
        <v>1500</v>
      </c>
      <c r="F18" s="255">
        <f>Arm_3_Number_of_Participants</f>
        <v>1500</v>
      </c>
      <c r="G18" s="255">
        <f>Arm_4_Number_of_Participants</f>
        <v>0</v>
      </c>
      <c r="H18" s="255">
        <f>Arm_5_Number_of_Participants</f>
        <v>0</v>
      </c>
      <c r="I18" s="255">
        <f>Arm_6_number_of_participants</f>
        <v>0</v>
      </c>
      <c r="J18" s="255">
        <f>Arm_7_number_of_participants</f>
        <v>0</v>
      </c>
      <c r="K18" s="255">
        <f>Arm_8_number_of_participants</f>
        <v>0</v>
      </c>
      <c r="L18" s="255">
        <f>Arm_9_number_of_participants</f>
        <v>0</v>
      </c>
      <c r="M18" s="255">
        <f>Arm_10_number_of_participants</f>
        <v>0</v>
      </c>
      <c r="N18" s="255">
        <f>Arm_11_number_of_participants</f>
        <v>0</v>
      </c>
      <c r="O18" s="255">
        <f>Arm_12_number_of_participants</f>
        <v>0</v>
      </c>
      <c r="P18" s="255">
        <f>Arm_13_number_of_participants</f>
        <v>0</v>
      </c>
      <c r="Q18" s="255">
        <f>Arm_14_number_of_participants</f>
        <v>0</v>
      </c>
      <c r="R18" s="255">
        <f>Arm_15_number_of_participants</f>
        <v>0</v>
      </c>
      <c r="S18" s="68"/>
      <c r="T18" s="64"/>
      <c r="U18" s="64"/>
    </row>
    <row r="19" spans="1:21" x14ac:dyDescent="0.25">
      <c r="A19" s="172"/>
      <c r="B19" s="256" t="s">
        <v>147</v>
      </c>
      <c r="C19" s="257"/>
      <c r="D19" s="258" t="str">
        <f>IF(D8="Not Applicable",D8,D8*Arm_1_Number_of_Participants)</f>
        <v>Not Applicable</v>
      </c>
      <c r="E19" s="258" t="str">
        <f>IF(E8="Not Applicable",E8,E8*Arm_2_Number_of_Participants)</f>
        <v>Not Applicable</v>
      </c>
      <c r="F19" s="258" t="str">
        <f>IF(F8="Not Applicable",F8,F8*Arm_3_Number_of_Participants)</f>
        <v>Not Applicable</v>
      </c>
      <c r="G19" s="258" t="str">
        <f>IF(G8="Not Applicable",G8,G8*Arm_4_Number_of_Participants)</f>
        <v>Not Applicable</v>
      </c>
      <c r="H19" s="258" t="str">
        <f>IF(H8="Not Applicable",H8,H8*Arm_5_Number_of_Participants)</f>
        <v>Not Applicable</v>
      </c>
      <c r="I19" s="514" t="str">
        <f>IF(I8="Not Applicable",I8,I8*Arm_6_number_of_participants)</f>
        <v>Not Applicable</v>
      </c>
      <c r="J19" s="514" t="str">
        <f>IF(J8="Not Applicable",J8,J8*Arm_7_number_of_participants)</f>
        <v>Not Applicable</v>
      </c>
      <c r="K19" s="514" t="str">
        <f>IF(K8="Not Applicable",K8,K8*Arm_8_number_of_participants)</f>
        <v>Not Applicable</v>
      </c>
      <c r="L19" s="514" t="str">
        <f>IF(L8="Not Applicable",L8,L8*Arm_9_number_of_participants)</f>
        <v>Not Applicable</v>
      </c>
      <c r="M19" s="514" t="str">
        <f>IF(M8="Not Applicable",M8,M8*Arm_10_number_of_participants)</f>
        <v>Not Applicable</v>
      </c>
      <c r="N19" s="514" t="str">
        <f>IF(N8="Not Applicable",N8,N8*Arm_11_number_of_participants)</f>
        <v>Not Applicable</v>
      </c>
      <c r="O19" s="514" t="str">
        <f>IF(O8="Not Applicable",O8,O8*Arm_12_number_of_participants)</f>
        <v>Not Applicable</v>
      </c>
      <c r="P19" s="514" t="str">
        <f>IF(P8="Not Applicable",P8,P8*Arm_13_number_of_participants)</f>
        <v>Not Applicable</v>
      </c>
      <c r="Q19" s="514" t="str">
        <f>IF(Q8="Not Applicable",Q8,Q8*Arm_14_number_of_participants)</f>
        <v>Not Applicable</v>
      </c>
      <c r="R19" s="514" t="str">
        <f>IF(R8="Not Applicable",R8,R8*Arm_15_number_of_participants)</f>
        <v>Not Applicable</v>
      </c>
      <c r="S19" s="68"/>
      <c r="T19" s="64"/>
    </row>
    <row r="20" spans="1:21" x14ac:dyDescent="0.25">
      <c r="A20" s="172"/>
      <c r="B20" s="256" t="s">
        <v>148</v>
      </c>
      <c r="C20" s="257"/>
      <c r="D20" s="258" t="str">
        <f>IF(D9="Not Applicable",D9,D9*Arm_1_Number_of_Participants)</f>
        <v>Not Applicable</v>
      </c>
      <c r="E20" s="258" t="str">
        <f>IF(E9="Not Applicable",E9,E9*Arm_2_Number_of_Participants)</f>
        <v>Not Applicable</v>
      </c>
      <c r="F20" s="258" t="str">
        <f>IF(F9="Not Applicable",F9,F9*Arm_3_Number_of_Participants)</f>
        <v>Not Applicable</v>
      </c>
      <c r="G20" s="258" t="str">
        <f>IF(G9="Not Applicable",G9,G9*Arm_4_Number_of_Participants)</f>
        <v>Not Applicable</v>
      </c>
      <c r="H20" s="258" t="str">
        <f>IF(H9="Not Applicable",H9,H9*Arm_5_Number_of_Participants)</f>
        <v>Not Applicable</v>
      </c>
      <c r="I20" s="514" t="str">
        <f>IF(I9="Not Applicable",I9,I9*Arm_6_number_of_participants)</f>
        <v>Not Applicable</v>
      </c>
      <c r="J20" s="514" t="str">
        <f>IF(J9="Not Applicable",J9,J9*Arm_7_number_of_participants)</f>
        <v>Not Applicable</v>
      </c>
      <c r="K20" s="514" t="str">
        <f>IF(K9="Not Applicable",K9,K9*Arm_8_number_of_participants)</f>
        <v>Not Applicable</v>
      </c>
      <c r="L20" s="514" t="str">
        <f>IF(L9="Not Applicable",L9,L9*Arm_9_number_of_participants)</f>
        <v>Not Applicable</v>
      </c>
      <c r="M20" s="514" t="str">
        <f>IF(M9="Not Applicable",M9,M9*Arm_10_number_of_participants)</f>
        <v>Not Applicable</v>
      </c>
      <c r="N20" s="514" t="str">
        <f>IF(N9="Not Applicable",N9,N9*Arm_11_number_of_participants)</f>
        <v>Not Applicable</v>
      </c>
      <c r="O20" s="514" t="str">
        <f>IF(O9="Not Applicable",O9,O9*Arm_12_number_of_participants)</f>
        <v>Not Applicable</v>
      </c>
      <c r="P20" s="514" t="str">
        <f>IF(P9="Not Applicable",P9,P9*Arm_13_number_of_participants)</f>
        <v>Not Applicable</v>
      </c>
      <c r="Q20" s="514" t="str">
        <f>IF(Q9="Not Applicable",Q9,Q9*Arm_14_number_of_participants)</f>
        <v>Not Applicable</v>
      </c>
      <c r="R20" s="514" t="str">
        <f>IF(R9="Not Applicable",R9,R9*Arm_15_number_of_participants)</f>
        <v>Not Applicable</v>
      </c>
      <c r="S20" s="68"/>
      <c r="T20" s="64"/>
    </row>
    <row r="21" spans="1:21" x14ac:dyDescent="0.25">
      <c r="A21" s="172"/>
      <c r="B21" s="256" t="s">
        <v>346</v>
      </c>
      <c r="C21" s="257"/>
      <c r="D21" s="450">
        <f>IF(D10="Not Applicable",D10,D10*Arm_1_Number_of_Participants)</f>
        <v>525</v>
      </c>
      <c r="E21" s="450">
        <f>IF(E10="Not Applicable",E10,E10*Arm_2_Number_of_Participants)</f>
        <v>525</v>
      </c>
      <c r="F21" s="450">
        <f>IF(F10="Not Applicable",F10,F10*Arm_3_Number_of_Participants)</f>
        <v>525</v>
      </c>
      <c r="G21" s="450">
        <f>IF(G10="Not Applicable",G10,G10*Arm_4_Number_of_Participants)</f>
        <v>0</v>
      </c>
      <c r="H21" s="450">
        <f>IF(H10="Not Applicable",H10,H10*Arm_5_Number_of_Participants)</f>
        <v>0</v>
      </c>
      <c r="I21" s="515">
        <f>IF(I10="Not Applicable",I10,I10*Arm_6_number_of_participants)</f>
        <v>0</v>
      </c>
      <c r="J21" s="515">
        <f>IF(J10="Not Applicable",J10,J10*Arm_7_number_of_participants)</f>
        <v>0</v>
      </c>
      <c r="K21" s="515">
        <f>IF(K10="Not Applicable",K10,K10*Arm_8_number_of_participants)</f>
        <v>0</v>
      </c>
      <c r="L21" s="515">
        <f>IF(L10="Not Applicable",L10,L10*Arm_9_number_of_participants)</f>
        <v>0</v>
      </c>
      <c r="M21" s="515">
        <f>IF(M10="Not Applicable",M10,M10*Arm_10_number_of_participants)</f>
        <v>0</v>
      </c>
      <c r="N21" s="515">
        <f>IF(N10="Not Applicable",N10,N10*Arm_11_number_of_participants)</f>
        <v>0</v>
      </c>
      <c r="O21" s="515">
        <f>IF(O10="Not Applicable",O10,O10*Arm_12_number_of_participants)</f>
        <v>0</v>
      </c>
      <c r="P21" s="515">
        <f>IF(P10="Not Applicable",P10,P10*Arm_13_number_of_participants)</f>
        <v>0</v>
      </c>
      <c r="Q21" s="515">
        <f>IF(Q10="Not Applicable",Q10,Q10*Arm_14_number_of_participants)</f>
        <v>0</v>
      </c>
      <c r="R21" s="515">
        <f>IF(R10="Not Applicable",R10,R10*Arm_15_number_of_participants)</f>
        <v>0</v>
      </c>
      <c r="S21" s="68"/>
      <c r="T21" s="64"/>
    </row>
    <row r="22" spans="1:21" x14ac:dyDescent="0.25">
      <c r="A22" s="172"/>
      <c r="B22" s="256" t="s">
        <v>149</v>
      </c>
      <c r="C22" s="257"/>
      <c r="D22" s="258">
        <f t="shared" ref="D22:D24" si="1">D11*Arm_1_Number_of_Participants</f>
        <v>22050</v>
      </c>
      <c r="E22" s="258">
        <f t="shared" ref="E22:E24" si="2">E11*Arm_2_Number_of_Participants</f>
        <v>22050</v>
      </c>
      <c r="F22" s="258">
        <f t="shared" ref="F22:F24" si="3">F11*Arm_3_Number_of_Participants</f>
        <v>22050</v>
      </c>
      <c r="G22" s="258">
        <f t="shared" ref="G22:G24" si="4">G11*Arm_4_Number_of_Participants</f>
        <v>0</v>
      </c>
      <c r="H22" s="258">
        <f t="shared" ref="H22:H24" si="5">H11*Arm_5_Number_of_Participants</f>
        <v>0</v>
      </c>
      <c r="I22" s="514">
        <f>I11*Arm_6_number_of_participants</f>
        <v>0</v>
      </c>
      <c r="J22" s="514">
        <f>J11*Arm_7_number_of_participants</f>
        <v>0</v>
      </c>
      <c r="K22" s="514">
        <f>K11*Arm_8_number_of_participants</f>
        <v>0</v>
      </c>
      <c r="L22" s="514">
        <f>L11*Arm_9_number_of_participants</f>
        <v>0</v>
      </c>
      <c r="M22" s="514">
        <f>M11*Arm_10_number_of_participants</f>
        <v>0</v>
      </c>
      <c r="N22" s="514">
        <f>N11*Arm_11_number_of_participants</f>
        <v>0</v>
      </c>
      <c r="O22" s="514">
        <f>O11*Arm_12_number_of_participants</f>
        <v>0</v>
      </c>
      <c r="P22" s="514">
        <f>P11*Arm_13_number_of_participants</f>
        <v>0</v>
      </c>
      <c r="Q22" s="514">
        <f>Q11*Arm_14_number_of_participants</f>
        <v>0</v>
      </c>
      <c r="R22" s="514">
        <f>R11*Arm_15_number_of_participants</f>
        <v>0</v>
      </c>
      <c r="S22" s="68"/>
      <c r="T22" s="64"/>
    </row>
    <row r="23" spans="1:21" x14ac:dyDescent="0.25">
      <c r="A23" s="172"/>
      <c r="B23" s="256" t="s">
        <v>150</v>
      </c>
      <c r="C23" s="258">
        <f>Standard_of_care_cost*Sum_total_all_participants</f>
        <v>66150</v>
      </c>
      <c r="D23" s="258">
        <f t="shared" si="1"/>
        <v>0</v>
      </c>
      <c r="E23" s="258">
        <f t="shared" si="2"/>
        <v>11025</v>
      </c>
      <c r="F23" s="258">
        <f t="shared" si="3"/>
        <v>11025</v>
      </c>
      <c r="G23" s="258">
        <f t="shared" si="4"/>
        <v>0</v>
      </c>
      <c r="H23" s="258">
        <f t="shared" si="5"/>
        <v>0</v>
      </c>
      <c r="I23" s="514">
        <f>I12*Arm_6_number_of_participants</f>
        <v>0</v>
      </c>
      <c r="J23" s="514">
        <f>J12*Arm_7_number_of_participants</f>
        <v>0</v>
      </c>
      <c r="K23" s="514">
        <f>K12*Arm_8_number_of_participants</f>
        <v>0</v>
      </c>
      <c r="L23" s="514">
        <f>L12*Arm_9_number_of_participants</f>
        <v>0</v>
      </c>
      <c r="M23" s="514">
        <f>M12*Arm_10_number_of_participants</f>
        <v>0</v>
      </c>
      <c r="N23" s="514">
        <f>N12*Arm_11_number_of_participants</f>
        <v>0</v>
      </c>
      <c r="O23" s="514">
        <f>O12*Arm_12_number_of_participants</f>
        <v>0</v>
      </c>
      <c r="P23" s="514">
        <f>P12*Arm_13_number_of_participants</f>
        <v>0</v>
      </c>
      <c r="Q23" s="514">
        <f>Q12*Arm_14_number_of_participants</f>
        <v>0</v>
      </c>
      <c r="R23" s="514">
        <f>R12*Arm_15_number_of_participants</f>
        <v>0</v>
      </c>
      <c r="S23" s="68"/>
      <c r="T23" s="64"/>
    </row>
    <row r="24" spans="1:21" ht="29.25" thickBot="1" x14ac:dyDescent="0.3">
      <c r="A24" s="172"/>
      <c r="B24" s="212" t="s">
        <v>501</v>
      </c>
      <c r="C24" s="179"/>
      <c r="D24" s="180">
        <f t="shared" si="1"/>
        <v>-22050</v>
      </c>
      <c r="E24" s="180">
        <f t="shared" si="2"/>
        <v>-11025</v>
      </c>
      <c r="F24" s="180">
        <f t="shared" si="3"/>
        <v>0</v>
      </c>
      <c r="G24" s="180">
        <f t="shared" si="4"/>
        <v>0</v>
      </c>
      <c r="H24" s="180">
        <f t="shared" si="5"/>
        <v>0</v>
      </c>
      <c r="I24" s="516">
        <f>I13*Arm_6_number_of_participants</f>
        <v>0</v>
      </c>
      <c r="J24" s="516">
        <f>J13*Arm_7_number_of_participants</f>
        <v>0</v>
      </c>
      <c r="K24" s="516">
        <f>K13*Arm_8_number_of_participants</f>
        <v>0</v>
      </c>
      <c r="L24" s="516">
        <f>L13*Arm_9_number_of_participants</f>
        <v>0</v>
      </c>
      <c r="M24" s="516">
        <f>M13*Arm_10_number_of_participants</f>
        <v>0</v>
      </c>
      <c r="N24" s="516">
        <f>N13*Arm_11_number_of_participants</f>
        <v>0</v>
      </c>
      <c r="O24" s="516">
        <f>O13*Arm_12_number_of_participants</f>
        <v>0</v>
      </c>
      <c r="P24" s="516">
        <f>P13*Arm_13_number_of_participants</f>
        <v>0</v>
      </c>
      <c r="Q24" s="516">
        <f>Q13*Arm_14_number_of_participants</f>
        <v>0</v>
      </c>
      <c r="R24" s="516">
        <f>R13*Arm_15_number_of_participants</f>
        <v>0</v>
      </c>
      <c r="S24" s="68"/>
      <c r="T24" s="64"/>
    </row>
    <row r="25" spans="1:21" ht="18" customHeight="1" thickTop="1" x14ac:dyDescent="0.25">
      <c r="A25" s="172"/>
      <c r="B25" s="213" t="s">
        <v>502</v>
      </c>
      <c r="C25" s="178"/>
      <c r="D25" s="189">
        <f>D14*Arm_1_Number_of_Participants</f>
        <v>524.99999999999943</v>
      </c>
      <c r="E25" s="189">
        <f>E14*Arm_2_Number_of_Participants</f>
        <v>11549.999999999998</v>
      </c>
      <c r="F25" s="189">
        <f>F14*Arm_3_Number_of_Participants</f>
        <v>22575</v>
      </c>
      <c r="G25" s="189">
        <f>G14*Arm_4_Number_of_Participants</f>
        <v>0</v>
      </c>
      <c r="H25" s="189">
        <f>H14*Arm_5_Number_of_Participants</f>
        <v>0</v>
      </c>
      <c r="I25" s="517">
        <f>I14*Arm_6_number_of_participants</f>
        <v>0</v>
      </c>
      <c r="J25" s="517">
        <f>J14*Arm_7_number_of_participants</f>
        <v>0</v>
      </c>
      <c r="K25" s="517">
        <f>K14*Arm_8_number_of_participants</f>
        <v>0</v>
      </c>
      <c r="L25" s="517">
        <f>L14*Arm_9_number_of_participants</f>
        <v>0</v>
      </c>
      <c r="M25" s="517">
        <f>M14*Arm_10_number_of_participants</f>
        <v>0</v>
      </c>
      <c r="N25" s="517">
        <f>N14*Arm_11_number_of_participants</f>
        <v>0</v>
      </c>
      <c r="O25" s="517">
        <f>O14*Arm_12_number_of_participants</f>
        <v>0</v>
      </c>
      <c r="P25" s="517">
        <f>P14*Arm_13_number_of_participants</f>
        <v>0</v>
      </c>
      <c r="Q25" s="517">
        <f>Q14*Arm_14_number_of_participants</f>
        <v>0</v>
      </c>
      <c r="R25" s="517">
        <f>R14*Arm_15_number_of_participants</f>
        <v>0</v>
      </c>
      <c r="S25" s="68"/>
      <c r="T25" s="64"/>
    </row>
    <row r="26" spans="1:21" ht="29.25" customHeight="1" x14ac:dyDescent="0.25">
      <c r="A26" s="172"/>
      <c r="B26" s="173"/>
      <c r="C26" s="45"/>
      <c r="D26" s="173"/>
      <c r="E26" s="170"/>
      <c r="F26" s="170"/>
      <c r="G26" s="170"/>
      <c r="H26" s="170"/>
      <c r="I26" s="170"/>
      <c r="J26" s="170"/>
      <c r="K26" s="170"/>
      <c r="L26" s="170"/>
      <c r="M26" s="170"/>
      <c r="N26" s="170"/>
      <c r="O26" s="170"/>
      <c r="P26" s="170"/>
      <c r="Q26" s="170"/>
      <c r="R26" s="170"/>
      <c r="S26" s="68"/>
      <c r="T26" s="64"/>
    </row>
    <row r="27" spans="1:21" ht="29.25" customHeight="1" x14ac:dyDescent="0.25">
      <c r="A27" s="172"/>
      <c r="B27" s="609" t="s">
        <v>615</v>
      </c>
      <c r="C27" s="610"/>
      <c r="D27" s="170"/>
      <c r="E27" s="170"/>
      <c r="F27" s="170"/>
      <c r="G27" s="170"/>
      <c r="H27" s="170"/>
      <c r="I27" s="170"/>
      <c r="J27" s="170"/>
      <c r="K27" s="170"/>
      <c r="L27" s="170"/>
      <c r="M27" s="170"/>
      <c r="N27" s="170"/>
      <c r="O27" s="170"/>
      <c r="P27" s="170"/>
      <c r="Q27" s="170"/>
      <c r="R27" s="170"/>
      <c r="S27" s="68"/>
      <c r="T27" s="64"/>
    </row>
    <row r="28" spans="1:21" ht="18.75" customHeight="1" x14ac:dyDescent="0.25">
      <c r="A28" s="172"/>
      <c r="B28" s="487" t="s">
        <v>147</v>
      </c>
      <c r="C28" s="208">
        <f>SUMIF(Gen_Act_Research_Cost_Part_A,"&lt;&gt;#N/A")*Projected_Number_of_sites</f>
        <v>0</v>
      </c>
      <c r="D28" s="170"/>
      <c r="E28" s="173"/>
      <c r="F28" s="170"/>
      <c r="G28" s="170"/>
      <c r="H28" s="170"/>
      <c r="I28" s="170"/>
      <c r="J28" s="170"/>
      <c r="K28" s="170"/>
      <c r="L28" s="170"/>
      <c r="M28" s="170"/>
      <c r="N28" s="170"/>
      <c r="O28" s="170"/>
      <c r="P28" s="170"/>
      <c r="Q28" s="170"/>
      <c r="R28" s="170"/>
      <c r="S28" s="68"/>
      <c r="T28" s="64"/>
    </row>
    <row r="29" spans="1:21" ht="19.5" customHeight="1" x14ac:dyDescent="0.25">
      <c r="A29" s="172"/>
      <c r="B29" s="487" t="s">
        <v>148</v>
      </c>
      <c r="C29" s="208">
        <f>SUMIF(Gen_Act_Research_Cost_Part_B,"&lt;&gt;#N/A")*Projected_Number_of_sites</f>
        <v>0</v>
      </c>
      <c r="D29" s="170"/>
      <c r="E29" s="173"/>
      <c r="F29" s="70"/>
      <c r="G29" s="70"/>
      <c r="H29" s="70"/>
      <c r="I29" s="70"/>
      <c r="J29" s="70"/>
      <c r="K29" s="70"/>
      <c r="L29" s="70"/>
      <c r="M29" s="70"/>
      <c r="N29" s="70"/>
      <c r="O29" s="70"/>
      <c r="P29" s="70"/>
      <c r="Q29" s="70"/>
      <c r="R29" s="70"/>
      <c r="S29" s="70"/>
      <c r="T29" s="64"/>
    </row>
    <row r="30" spans="1:21" ht="17.25" customHeight="1" x14ac:dyDescent="0.25">
      <c r="A30" s="172"/>
      <c r="B30" s="487" t="s">
        <v>346</v>
      </c>
      <c r="C30" s="208">
        <f>SUMIF(Gen_Act_Research_Cost,"&lt;&gt;#N/A")*Projected_Number_of_sites</f>
        <v>0</v>
      </c>
      <c r="D30" s="173"/>
      <c r="E30" s="173"/>
      <c r="F30" s="170"/>
      <c r="G30" s="170"/>
      <c r="H30" s="170"/>
      <c r="I30" s="170"/>
      <c r="J30" s="170"/>
      <c r="K30" s="170"/>
      <c r="L30" s="170"/>
      <c r="M30" s="170"/>
      <c r="N30" s="170"/>
      <c r="O30" s="170"/>
      <c r="P30" s="170"/>
      <c r="Q30" s="170"/>
      <c r="R30" s="170"/>
      <c r="S30" s="68"/>
      <c r="T30" s="64"/>
    </row>
    <row r="31" spans="1:21" ht="18" customHeight="1" x14ac:dyDescent="0.25">
      <c r="A31" s="172"/>
      <c r="B31" s="487" t="s">
        <v>149</v>
      </c>
      <c r="C31" s="208">
        <f>SUMIF(Gen_Act_Service_Support_Cost,"&lt;&gt;#N/A")*Projected_Number_of_sites</f>
        <v>2205</v>
      </c>
      <c r="D31" s="170"/>
      <c r="E31" s="173"/>
      <c r="F31" s="70"/>
      <c r="G31" s="70"/>
      <c r="H31" s="70"/>
      <c r="I31" s="70"/>
      <c r="J31" s="70"/>
      <c r="K31" s="70"/>
      <c r="L31" s="70"/>
      <c r="M31" s="70"/>
      <c r="N31" s="70"/>
      <c r="O31" s="70"/>
      <c r="P31" s="70"/>
      <c r="Q31" s="70"/>
      <c r="R31" s="70"/>
      <c r="S31" s="70"/>
      <c r="T31" s="64"/>
    </row>
    <row r="32" spans="1:21" ht="15.75" thickBot="1" x14ac:dyDescent="0.3">
      <c r="A32" s="172"/>
      <c r="B32" s="496" t="s">
        <v>613</v>
      </c>
      <c r="C32" s="497">
        <f>SUMIF(Gen_Act_Treatment_Cost,"&lt;&gt;#N/A")*Projected_Number_of_sites</f>
        <v>0</v>
      </c>
      <c r="D32" s="173"/>
      <c r="E32" s="174"/>
      <c r="F32" s="70"/>
      <c r="G32" s="70"/>
      <c r="H32" s="70"/>
      <c r="I32" s="70"/>
      <c r="J32" s="70"/>
      <c r="K32" s="70"/>
      <c r="L32" s="70"/>
      <c r="M32" s="70"/>
      <c r="N32" s="70"/>
      <c r="O32" s="70"/>
      <c r="P32" s="70"/>
      <c r="Q32" s="70"/>
      <c r="R32" s="70"/>
      <c r="S32" s="70"/>
      <c r="T32" s="64"/>
    </row>
    <row r="33" spans="1:20" ht="30.75" thickTop="1" x14ac:dyDescent="0.25">
      <c r="A33" s="172"/>
      <c r="B33" s="488" t="s">
        <v>614</v>
      </c>
      <c r="C33" s="365">
        <f>SUM(C28:C32)</f>
        <v>2205</v>
      </c>
      <c r="D33" s="173"/>
      <c r="E33" s="174"/>
      <c r="F33" s="70"/>
      <c r="G33" s="70"/>
      <c r="H33" s="70"/>
      <c r="I33" s="70"/>
      <c r="J33" s="70"/>
      <c r="K33" s="70"/>
      <c r="L33" s="70"/>
      <c r="M33" s="70"/>
      <c r="N33" s="70"/>
      <c r="O33" s="70"/>
      <c r="P33" s="70"/>
      <c r="Q33" s="70"/>
      <c r="R33" s="70"/>
      <c r="S33" s="70"/>
      <c r="T33" s="64"/>
    </row>
    <row r="34" spans="1:20" x14ac:dyDescent="0.25">
      <c r="A34" s="172"/>
      <c r="B34" s="498" t="s">
        <v>616</v>
      </c>
      <c r="C34" s="502">
        <f>C32/C18</f>
        <v>0</v>
      </c>
      <c r="D34" s="173"/>
      <c r="E34" s="174"/>
      <c r="F34" s="70"/>
      <c r="G34" s="70"/>
      <c r="H34" s="70"/>
      <c r="I34" s="70"/>
      <c r="J34" s="70"/>
      <c r="K34" s="70"/>
      <c r="L34" s="70"/>
      <c r="M34" s="70"/>
      <c r="N34" s="70"/>
      <c r="O34" s="70"/>
      <c r="P34" s="70"/>
      <c r="Q34" s="70"/>
      <c r="R34" s="70"/>
      <c r="S34" s="70"/>
      <c r="T34" s="64"/>
    </row>
    <row r="35" spans="1:20" ht="15.75" thickBot="1" x14ac:dyDescent="0.3">
      <c r="A35" s="172"/>
      <c r="B35" s="172"/>
      <c r="C35" s="489"/>
      <c r="D35" s="173"/>
      <c r="E35" s="174"/>
      <c r="F35" s="70"/>
      <c r="G35" s="70"/>
      <c r="H35" s="70"/>
      <c r="I35" s="70"/>
      <c r="J35" s="70"/>
      <c r="K35" s="70"/>
      <c r="L35" s="70"/>
      <c r="M35" s="70"/>
      <c r="N35" s="70"/>
      <c r="O35" s="70"/>
      <c r="P35" s="70"/>
      <c r="Q35" s="70"/>
      <c r="R35" s="70"/>
      <c r="S35" s="70"/>
    </row>
    <row r="36" spans="1:20" ht="15.75" thickBot="1" x14ac:dyDescent="0.3">
      <c r="A36" s="172"/>
      <c r="B36" s="495" t="s">
        <v>503</v>
      </c>
      <c r="C36" s="442">
        <f>SUM(D25:R25)+C$33</f>
        <v>36855</v>
      </c>
      <c r="D36" s="173"/>
      <c r="E36" s="174"/>
      <c r="F36" s="70"/>
      <c r="G36" s="70"/>
      <c r="H36" s="70"/>
      <c r="I36" s="70"/>
      <c r="J36" s="70"/>
      <c r="K36" s="70"/>
      <c r="L36" s="70"/>
      <c r="M36" s="70"/>
      <c r="N36" s="70"/>
      <c r="O36" s="70"/>
      <c r="P36" s="70"/>
      <c r="Q36" s="70"/>
      <c r="R36" s="70"/>
      <c r="S36" s="70"/>
    </row>
    <row r="37" spans="1:20" ht="15.75" thickBot="1" x14ac:dyDescent="0.3">
      <c r="A37" s="172"/>
      <c r="B37" s="71"/>
      <c r="C37" s="72"/>
      <c r="D37" s="173"/>
      <c r="E37" s="174"/>
      <c r="F37" s="70"/>
      <c r="G37" s="70"/>
      <c r="H37" s="70"/>
      <c r="I37" s="70"/>
      <c r="J37" s="70"/>
      <c r="K37" s="70"/>
      <c r="L37" s="70"/>
      <c r="M37" s="70"/>
      <c r="N37" s="70"/>
      <c r="O37" s="70"/>
      <c r="P37" s="70"/>
      <c r="Q37" s="70"/>
      <c r="R37" s="70"/>
      <c r="S37" s="70"/>
    </row>
    <row r="38" spans="1:20" ht="30" x14ac:dyDescent="0.25">
      <c r="A38" s="172"/>
      <c r="B38" s="443" t="s">
        <v>646</v>
      </c>
      <c r="C38" s="446"/>
      <c r="D38" s="173"/>
      <c r="E38" s="174"/>
      <c r="F38" s="70"/>
      <c r="G38" s="70"/>
      <c r="H38" s="70"/>
      <c r="I38" s="70"/>
      <c r="J38" s="70"/>
      <c r="K38" s="70"/>
      <c r="L38" s="70"/>
      <c r="M38" s="70"/>
      <c r="N38" s="70"/>
      <c r="O38" s="70"/>
      <c r="P38" s="70"/>
      <c r="Q38" s="70"/>
      <c r="R38" s="70"/>
      <c r="S38" s="70"/>
    </row>
    <row r="39" spans="1:20" ht="30" x14ac:dyDescent="0.25">
      <c r="A39" s="172"/>
      <c r="B39" s="444" t="s">
        <v>647</v>
      </c>
      <c r="C39" s="447"/>
      <c r="D39" s="173"/>
      <c r="E39" s="174"/>
      <c r="F39" s="70"/>
      <c r="G39" s="70"/>
      <c r="H39" s="70"/>
      <c r="I39" s="70"/>
      <c r="J39" s="70"/>
      <c r="K39" s="70"/>
      <c r="L39" s="70"/>
      <c r="M39" s="70"/>
      <c r="N39" s="70"/>
      <c r="O39" s="70"/>
      <c r="P39" s="70"/>
      <c r="Q39" s="70"/>
      <c r="R39" s="70"/>
      <c r="S39" s="70"/>
    </row>
    <row r="40" spans="1:20" ht="15.75" thickBot="1" x14ac:dyDescent="0.3">
      <c r="A40" s="172"/>
      <c r="B40" s="247" t="s">
        <v>222</v>
      </c>
      <c r="C40" s="445">
        <f>C39-C38</f>
        <v>0</v>
      </c>
      <c r="D40" s="173"/>
      <c r="E40" s="174"/>
      <c r="F40" s="70"/>
      <c r="G40" s="70"/>
      <c r="S40" s="70"/>
    </row>
    <row r="41" spans="1:20" ht="15.75" thickBot="1" x14ac:dyDescent="0.3">
      <c r="A41" s="172"/>
      <c r="B41" s="173"/>
      <c r="C41" s="174"/>
      <c r="D41" s="173"/>
      <c r="E41" s="174"/>
      <c r="F41" s="70"/>
      <c r="G41" s="70"/>
      <c r="H41" s="70"/>
      <c r="I41" s="70"/>
      <c r="J41" s="70"/>
      <c r="K41" s="70"/>
      <c r="L41" s="70"/>
      <c r="M41" s="70"/>
      <c r="N41" s="70"/>
      <c r="O41" s="70"/>
      <c r="P41" s="70"/>
      <c r="Q41" s="70"/>
      <c r="R41" s="70"/>
      <c r="S41" s="70"/>
    </row>
    <row r="42" spans="1:20" ht="33.75" customHeight="1" thickBot="1" x14ac:dyDescent="0.3">
      <c r="A42" s="172"/>
      <c r="B42" s="441" t="s">
        <v>648</v>
      </c>
      <c r="C42" s="442">
        <f>Sum_Difference*Study_Info_Duration_month</f>
        <v>0</v>
      </c>
      <c r="D42" s="173"/>
      <c r="E42" s="45"/>
      <c r="F42" s="70"/>
      <c r="G42" s="70"/>
      <c r="H42" s="70"/>
      <c r="I42" s="70"/>
      <c r="J42" s="70"/>
      <c r="K42" s="70"/>
      <c r="L42" s="70"/>
      <c r="M42" s="70"/>
      <c r="N42" s="70"/>
      <c r="O42" s="70"/>
      <c r="P42" s="70"/>
      <c r="Q42" s="70"/>
      <c r="R42" s="70"/>
      <c r="S42" s="70"/>
    </row>
    <row r="43" spans="1:20" ht="43.5" thickBot="1" x14ac:dyDescent="0.3">
      <c r="A43" s="172"/>
      <c r="B43" s="522" t="s">
        <v>649</v>
      </c>
      <c r="C43" s="521">
        <f>C42*Sum_total_all_participants</f>
        <v>0</v>
      </c>
      <c r="D43" s="173"/>
      <c r="E43" s="448"/>
      <c r="F43" s="70"/>
      <c r="G43" s="70"/>
      <c r="H43" s="70"/>
      <c r="I43" s="70"/>
      <c r="J43" s="70"/>
      <c r="K43" s="70"/>
      <c r="L43" s="70"/>
      <c r="M43" s="70"/>
      <c r="N43" s="70"/>
      <c r="O43" s="70"/>
      <c r="P43" s="70"/>
      <c r="Q43" s="70"/>
      <c r="R43" s="70"/>
      <c r="S43" s="70"/>
    </row>
    <row r="44" spans="1:20" ht="20.25" customHeight="1" x14ac:dyDescent="0.25">
      <c r="A44" s="172"/>
      <c r="B44" s="173"/>
      <c r="C44" s="174"/>
      <c r="D44" s="173"/>
      <c r="E44" s="174"/>
      <c r="F44" s="70"/>
      <c r="G44" s="70"/>
      <c r="H44" s="70"/>
      <c r="I44" s="70"/>
      <c r="J44" s="70"/>
      <c r="K44" s="70"/>
      <c r="L44" s="70"/>
      <c r="M44" s="70"/>
      <c r="N44" s="70"/>
      <c r="O44" s="70"/>
      <c r="P44" s="70"/>
      <c r="Q44" s="70"/>
      <c r="R44" s="70"/>
      <c r="S44" s="70"/>
    </row>
    <row r="45" spans="1:20" ht="15.75" thickBot="1" x14ac:dyDescent="0.3">
      <c r="A45" s="172"/>
      <c r="B45" s="242" t="s">
        <v>504</v>
      </c>
      <c r="C45" s="207"/>
      <c r="D45" s="173"/>
      <c r="E45" s="174"/>
      <c r="F45" s="70"/>
      <c r="G45" s="70"/>
      <c r="H45" s="70"/>
      <c r="I45" s="70"/>
      <c r="J45" s="70"/>
      <c r="K45" s="70"/>
      <c r="L45" s="70"/>
      <c r="M45" s="70"/>
      <c r="N45" s="70"/>
      <c r="O45" s="70"/>
      <c r="P45" s="70"/>
      <c r="Q45" s="70"/>
      <c r="R45" s="70"/>
      <c r="S45" s="70"/>
    </row>
    <row r="46" spans="1:20" x14ac:dyDescent="0.25">
      <c r="A46" s="172"/>
      <c r="B46" s="237" t="s">
        <v>147</v>
      </c>
      <c r="C46" s="243" t="str">
        <f>IF('Study Information'!$B$11="No","Not Applicable",$C28+$D19+$E19+$F19+$G19+$H19)</f>
        <v>Not Applicable</v>
      </c>
      <c r="D46" s="173"/>
      <c r="F46" s="70"/>
      <c r="G46" s="70"/>
      <c r="H46" s="70"/>
      <c r="I46" s="70"/>
      <c r="J46" s="70"/>
      <c r="K46" s="70"/>
      <c r="L46" s="70"/>
      <c r="M46" s="70"/>
      <c r="N46" s="70"/>
      <c r="O46" s="70"/>
      <c r="P46" s="70"/>
      <c r="Q46" s="70"/>
      <c r="R46" s="70"/>
      <c r="S46" s="70"/>
    </row>
    <row r="47" spans="1:20" x14ac:dyDescent="0.25">
      <c r="A47" s="172"/>
      <c r="B47" s="238" t="s">
        <v>148</v>
      </c>
      <c r="C47" s="244" t="str">
        <f>IF('Study Information'!$B$11="No","Not Applicable",$C29+$D20+$E20+$F20+$G20+$H20)</f>
        <v>Not Applicable</v>
      </c>
      <c r="D47" s="173"/>
      <c r="E47" s="174"/>
      <c r="F47" s="70"/>
      <c r="G47" s="70"/>
      <c r="H47" s="70"/>
      <c r="I47" s="70"/>
      <c r="J47" s="70"/>
      <c r="K47" s="70"/>
      <c r="L47" s="70"/>
      <c r="M47" s="70"/>
      <c r="N47" s="70"/>
      <c r="O47" s="70"/>
      <c r="P47" s="70"/>
      <c r="Q47" s="70"/>
      <c r="R47" s="70"/>
      <c r="S47" s="70"/>
    </row>
    <row r="48" spans="1:20" x14ac:dyDescent="0.25">
      <c r="A48" s="172"/>
      <c r="B48" s="238" t="s">
        <v>346</v>
      </c>
      <c r="C48" s="244">
        <f>IF('Study Information'!$B$11="Yes","Not Applicable",$C30+$D21+$E21+$F21+$G21+$H21)</f>
        <v>1575</v>
      </c>
      <c r="D48" s="173"/>
      <c r="E48" s="174"/>
      <c r="F48" s="70"/>
      <c r="G48" s="70"/>
      <c r="H48" s="70"/>
      <c r="I48" s="70"/>
      <c r="J48" s="70"/>
      <c r="K48" s="70"/>
      <c r="L48" s="70"/>
      <c r="M48" s="70"/>
      <c r="N48" s="70"/>
      <c r="O48" s="70"/>
      <c r="P48" s="70"/>
      <c r="Q48" s="70"/>
      <c r="R48" s="70"/>
      <c r="S48" s="70"/>
    </row>
    <row r="49" spans="1:19" x14ac:dyDescent="0.25">
      <c r="A49" s="172"/>
      <c r="B49" s="238" t="s">
        <v>500</v>
      </c>
      <c r="C49" s="245">
        <f>SUM(D22:H22)+C31</f>
        <v>68355</v>
      </c>
      <c r="D49" s="173"/>
      <c r="E49" s="174"/>
      <c r="F49" s="70"/>
      <c r="G49" s="70"/>
      <c r="H49" s="70"/>
      <c r="I49" s="70"/>
      <c r="J49" s="70"/>
      <c r="K49" s="70"/>
      <c r="L49" s="70"/>
      <c r="M49" s="70"/>
      <c r="N49" s="70"/>
      <c r="O49" s="70"/>
      <c r="P49" s="70"/>
      <c r="Q49" s="70"/>
      <c r="R49" s="70"/>
      <c r="S49" s="70"/>
    </row>
    <row r="50" spans="1:19" ht="15.75" customHeight="1" thickBot="1" x14ac:dyDescent="0.3">
      <c r="A50" s="172"/>
      <c r="B50" s="239" t="s">
        <v>574</v>
      </c>
      <c r="C50" s="246">
        <f>SUM(D24:H24)+C32</f>
        <v>-33075</v>
      </c>
      <c r="D50" s="173"/>
      <c r="E50" s="174"/>
      <c r="F50" s="70"/>
      <c r="G50" s="70"/>
      <c r="H50" s="70"/>
      <c r="I50" s="70"/>
      <c r="J50" s="70"/>
      <c r="K50" s="70"/>
      <c r="L50" s="70"/>
      <c r="M50" s="70"/>
      <c r="N50" s="70"/>
      <c r="O50" s="70"/>
      <c r="P50" s="70"/>
      <c r="Q50" s="70"/>
      <c r="R50" s="70"/>
      <c r="S50" s="70"/>
    </row>
    <row r="51" spans="1:19" ht="16.5" thickTop="1" thickBot="1" x14ac:dyDescent="0.3">
      <c r="A51" s="172"/>
      <c r="B51" s="240" t="s">
        <v>505</v>
      </c>
      <c r="C51" s="241">
        <f>SUM(C46:C50)</f>
        <v>36855</v>
      </c>
      <c r="D51" s="173"/>
      <c r="E51" s="174"/>
      <c r="F51" s="70"/>
      <c r="G51" s="70"/>
      <c r="H51" s="70"/>
      <c r="I51" s="70"/>
      <c r="J51" s="70"/>
      <c r="K51" s="70"/>
      <c r="L51" s="70"/>
      <c r="M51" s="70"/>
      <c r="N51" s="70"/>
      <c r="O51" s="70"/>
      <c r="P51" s="70"/>
      <c r="Q51" s="70"/>
      <c r="R51" s="70"/>
      <c r="S51" s="70"/>
    </row>
    <row r="52" spans="1:19" ht="15.75" thickBot="1" x14ac:dyDescent="0.3">
      <c r="A52" s="172"/>
      <c r="B52" s="173"/>
      <c r="C52" s="173"/>
      <c r="D52" s="173"/>
      <c r="E52" s="174"/>
      <c r="F52" s="70"/>
      <c r="G52" s="70"/>
      <c r="H52" s="70"/>
      <c r="I52" s="70"/>
      <c r="J52" s="70"/>
      <c r="K52" s="70"/>
      <c r="L52" s="70"/>
      <c r="M52" s="70"/>
      <c r="N52" s="70"/>
      <c r="O52" s="70"/>
      <c r="P52" s="70"/>
      <c r="Q52" s="70"/>
      <c r="R52" s="70"/>
      <c r="S52" s="70"/>
    </row>
    <row r="53" spans="1:19" ht="15.75" thickBot="1" x14ac:dyDescent="0.3">
      <c r="A53" s="172"/>
      <c r="B53" s="500" t="s">
        <v>617</v>
      </c>
      <c r="C53" s="501">
        <f>C34+S13</f>
        <v>-7.35</v>
      </c>
      <c r="D53" s="173"/>
      <c r="E53" s="174"/>
      <c r="F53" s="70"/>
      <c r="G53" s="70"/>
      <c r="H53" s="70"/>
      <c r="I53" s="70"/>
      <c r="J53" s="70"/>
      <c r="K53" s="70"/>
      <c r="L53" s="70"/>
      <c r="M53" s="70"/>
      <c r="N53" s="70"/>
      <c r="O53" s="70"/>
      <c r="P53" s="70"/>
      <c r="Q53" s="70"/>
      <c r="R53" s="70"/>
      <c r="S53" s="70"/>
    </row>
    <row r="54" spans="1:19" ht="32.1" customHeight="1" x14ac:dyDescent="0.25">
      <c r="A54" s="172"/>
      <c r="B54" s="579" t="s">
        <v>689</v>
      </c>
      <c r="C54" s="173"/>
      <c r="D54" s="173"/>
      <c r="E54" s="174"/>
      <c r="F54" s="70"/>
      <c r="G54" s="70"/>
      <c r="H54" s="70"/>
      <c r="I54" s="70"/>
      <c r="J54" s="70"/>
      <c r="K54" s="70"/>
      <c r="L54" s="70"/>
      <c r="M54" s="70"/>
      <c r="N54" s="70"/>
      <c r="O54" s="70"/>
      <c r="P54" s="70"/>
      <c r="Q54" s="70"/>
      <c r="R54" s="70"/>
      <c r="S54" s="70"/>
    </row>
    <row r="55" spans="1:19" x14ac:dyDescent="0.25">
      <c r="A55" s="172"/>
      <c r="B55" s="173"/>
      <c r="C55" s="173"/>
      <c r="D55" s="173"/>
      <c r="E55" s="174"/>
      <c r="F55" s="70"/>
      <c r="G55" s="70"/>
      <c r="H55" s="70"/>
      <c r="I55" s="70"/>
      <c r="J55" s="70"/>
      <c r="K55" s="70"/>
      <c r="L55" s="70"/>
      <c r="M55" s="70"/>
      <c r="N55" s="70"/>
      <c r="O55" s="70"/>
      <c r="P55" s="70"/>
      <c r="Q55" s="70"/>
      <c r="R55" s="70"/>
      <c r="S55" s="70"/>
    </row>
    <row r="56" spans="1:19" x14ac:dyDescent="0.25">
      <c r="A56" s="172"/>
      <c r="B56" s="173"/>
      <c r="C56" s="173"/>
      <c r="D56" s="173"/>
      <c r="E56" s="174"/>
      <c r="F56" s="70"/>
      <c r="G56" s="70"/>
      <c r="H56" s="70"/>
      <c r="I56" s="70"/>
      <c r="J56" s="70"/>
      <c r="K56" s="70"/>
      <c r="L56" s="70"/>
      <c r="M56" s="70"/>
      <c r="N56" s="70"/>
      <c r="O56" s="70"/>
      <c r="P56" s="70"/>
      <c r="Q56" s="70"/>
      <c r="R56" s="70"/>
      <c r="S56" s="70"/>
    </row>
    <row r="57" spans="1:19" x14ac:dyDescent="0.25">
      <c r="A57" s="172"/>
      <c r="B57" s="173"/>
      <c r="C57" s="173"/>
      <c r="D57" s="173"/>
      <c r="E57" s="174"/>
      <c r="F57" s="70"/>
      <c r="G57" s="70"/>
      <c r="H57" s="70"/>
      <c r="I57" s="70"/>
      <c r="J57" s="70"/>
      <c r="K57" s="70"/>
      <c r="L57" s="70"/>
      <c r="M57" s="70"/>
      <c r="N57" s="70"/>
      <c r="O57" s="70"/>
      <c r="P57" s="70"/>
      <c r="Q57" s="70"/>
      <c r="R57" s="70"/>
      <c r="S57" s="70"/>
    </row>
    <row r="58" spans="1:19" x14ac:dyDescent="0.25">
      <c r="A58" s="172"/>
      <c r="B58" s="173"/>
      <c r="C58" s="173"/>
      <c r="D58" s="173"/>
      <c r="E58" s="174"/>
      <c r="F58" s="70"/>
      <c r="G58" s="70"/>
      <c r="H58" s="70"/>
      <c r="I58" s="70"/>
      <c r="J58" s="70"/>
      <c r="K58" s="70"/>
      <c r="L58" s="70"/>
      <c r="M58" s="70"/>
      <c r="N58" s="70"/>
      <c r="O58" s="70"/>
      <c r="P58" s="70"/>
      <c r="Q58" s="70"/>
      <c r="R58" s="70"/>
      <c r="S58" s="70"/>
    </row>
    <row r="59" spans="1:19" x14ac:dyDescent="0.25">
      <c r="A59" s="172"/>
      <c r="B59" s="173"/>
      <c r="C59" s="173"/>
    </row>
    <row r="60" spans="1:19" x14ac:dyDescent="0.25">
      <c r="A60" s="172"/>
    </row>
  </sheetData>
  <sheetProtection algorithmName="SHA-512" hashValue="P9ycyakrIX04gem6d+/qs/fPLKCA34AiYt3b93uSgRJPXu70eNg8Yr2peVljE7vrGTLgqgR4wHd3e0OFtYLaOw==" saltValue="K8x1U47V7YVtMWnsoE65/w==" spinCount="100000" sheet="1" objects="1" scenarios="1"/>
  <protectedRanges>
    <protectedRange sqref="C38:C39" name="Current and Future Cost Input cells"/>
  </protectedRanges>
  <mergeCells count="4">
    <mergeCell ref="T8:T13"/>
    <mergeCell ref="B27:C27"/>
    <mergeCell ref="B6:S6"/>
    <mergeCell ref="B16:R16"/>
  </mergeCells>
  <conditionalFormatting sqref="C36">
    <cfRule type="containsErrors" dxfId="34" priority="5">
      <formula>ISERROR(C36)</formula>
    </cfRule>
  </conditionalFormatting>
  <conditionalFormatting sqref="C34">
    <cfRule type="containsErrors" dxfId="33" priority="2">
      <formula>ISERROR(C34)</formula>
    </cfRule>
  </conditionalFormatting>
  <conditionalFormatting sqref="C53">
    <cfRule type="containsErrors" dxfId="32" priority="1">
      <formula>ISERROR(C53)</formula>
    </cfRule>
  </conditionalFormatting>
  <dataValidations count="2">
    <dataValidation type="decimal" allowBlank="1" showInputMessage="1" showErrorMessage="1" prompt="Input Cost here" sqref="C38">
      <formula1>0.01</formula1>
      <formula2>100000000</formula2>
    </dataValidation>
    <dataValidation type="decimal" allowBlank="1" showInputMessage="1" showErrorMessage="1" prompt="Input Cost Here" sqref="C39">
      <formula1>0.1</formula1>
      <formula2>1000000000</formula2>
    </dataValidation>
  </dataValidations>
  <hyperlinks>
    <hyperlink ref="T8" r:id="rId1" display="https://www.gov.uk/government/publications/guidance-on-attributing-the-costs-of-health-and-social-care-research"/>
    <hyperlink ref="T8:T13" r:id="rId2" display="Guidance"/>
  </hyperlinks>
  <pageMargins left="0.70866141732283472" right="0.70866141732283472" top="0.74803149606299213" bottom="0.74803149606299213" header="0.31496062992125984" footer="0.31496062992125984"/>
  <pageSetup paperSize="9" scale="36" orientation="landscape" horizontalDpi="1200" verticalDpi="1200" r:id="rId3"/>
  <ignoredErrors>
    <ignoredError sqref="C34 C53" evalErro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DT115"/>
  <sheetViews>
    <sheetView showGridLines="0" topLeftCell="A8" zoomScaleNormal="100" zoomScaleSheetLayoutView="20" workbookViewId="0">
      <selection activeCell="B23" sqref="B23"/>
    </sheetView>
  </sheetViews>
  <sheetFormatPr defaultColWidth="9.140625" defaultRowHeight="15" x14ac:dyDescent="0.25"/>
  <cols>
    <col min="1" max="2" width="44.7109375" customWidth="1"/>
    <col min="3" max="3" width="23.7109375" customWidth="1"/>
    <col min="4" max="4" width="20.28515625" customWidth="1"/>
    <col min="5" max="5" width="20.28515625" style="27" customWidth="1"/>
    <col min="6" max="6" width="18.140625" customWidth="1"/>
    <col min="7" max="7" width="17.5703125" style="27" customWidth="1"/>
    <col min="8" max="33" width="16.85546875" customWidth="1"/>
    <col min="34" max="34" width="17.28515625" customWidth="1"/>
    <col min="35" max="35" width="18.42578125" customWidth="1"/>
    <col min="36" max="36" width="19" customWidth="1"/>
    <col min="37" max="37" width="23" hidden="1" customWidth="1"/>
    <col min="38" max="38" width="21.28515625" customWidth="1"/>
    <col min="39" max="39" width="17.28515625" customWidth="1"/>
    <col min="40" max="40" width="22.85546875" customWidth="1"/>
    <col min="41" max="41" width="14.28515625" hidden="1" customWidth="1"/>
  </cols>
  <sheetData>
    <row r="1" spans="1:124" ht="18" customHeight="1" x14ac:dyDescent="0.25">
      <c r="A1" s="6"/>
      <c r="B1" s="6"/>
      <c r="C1" s="6"/>
      <c r="D1" s="7"/>
      <c r="E1" s="7"/>
      <c r="F1" s="41"/>
      <c r="G1" s="41"/>
      <c r="H1" s="41"/>
      <c r="I1" s="41"/>
      <c r="J1" s="41"/>
      <c r="K1" s="41"/>
      <c r="L1" s="6"/>
      <c r="M1" s="6"/>
      <c r="N1" s="6"/>
      <c r="O1" s="6"/>
      <c r="P1" s="6"/>
      <c r="Q1" s="6"/>
      <c r="R1" s="6"/>
      <c r="S1" s="6"/>
      <c r="T1" s="6"/>
      <c r="U1" s="6"/>
      <c r="V1" s="6"/>
      <c r="W1" s="6"/>
      <c r="X1" s="6"/>
      <c r="Y1" s="6"/>
      <c r="Z1" s="6"/>
      <c r="AA1" s="6"/>
      <c r="AB1" s="6"/>
      <c r="AC1" s="6"/>
      <c r="AD1" s="6"/>
      <c r="AE1" s="6"/>
      <c r="AF1" s="6"/>
      <c r="AG1" s="6"/>
      <c r="AH1" s="6"/>
      <c r="AI1" s="6"/>
      <c r="AJ1" s="6"/>
      <c r="AK1" s="6"/>
      <c r="AL1" s="3"/>
      <c r="AM1" s="3"/>
      <c r="AN1" s="3"/>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row>
    <row r="2" spans="1:124" ht="18" customHeight="1" x14ac:dyDescent="0.25">
      <c r="A2" s="6"/>
      <c r="B2" s="6"/>
      <c r="C2" s="6"/>
      <c r="D2" s="7"/>
      <c r="E2" s="7"/>
      <c r="F2" s="41"/>
      <c r="G2" s="41"/>
      <c r="H2" s="594"/>
      <c r="I2" s="594"/>
      <c r="J2" s="594"/>
      <c r="K2" s="41"/>
      <c r="L2" s="9"/>
      <c r="M2" s="6"/>
      <c r="N2" s="6"/>
      <c r="O2" s="6"/>
      <c r="P2" s="6"/>
      <c r="Q2" s="6"/>
      <c r="R2" s="6"/>
      <c r="S2" s="6"/>
      <c r="T2" s="6"/>
      <c r="U2" s="6"/>
      <c r="V2" s="6"/>
      <c r="W2" s="6"/>
      <c r="X2" s="6"/>
      <c r="Y2" s="6"/>
      <c r="Z2" s="6"/>
      <c r="AA2" s="6"/>
      <c r="AB2" s="6"/>
      <c r="AC2" s="6"/>
      <c r="AD2" s="6"/>
      <c r="AE2" s="6"/>
      <c r="AF2" s="6"/>
      <c r="AG2" s="6"/>
      <c r="AH2" s="6"/>
      <c r="AI2" s="6"/>
      <c r="AJ2" s="6"/>
      <c r="AK2" s="6"/>
      <c r="AL2" s="3"/>
      <c r="AM2" s="3"/>
      <c r="AN2" s="3"/>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row>
    <row r="3" spans="1:124" ht="18" customHeight="1" x14ac:dyDescent="0.25">
      <c r="A3" s="6"/>
      <c r="B3" s="6"/>
      <c r="C3" s="6"/>
      <c r="D3" s="7"/>
      <c r="E3" s="7"/>
      <c r="F3" s="41"/>
      <c r="G3" s="41"/>
      <c r="H3" s="593"/>
      <c r="I3" s="593"/>
      <c r="J3" s="43"/>
      <c r="K3" s="41"/>
      <c r="L3" s="10"/>
      <c r="M3" s="6"/>
      <c r="N3" s="6"/>
      <c r="O3" s="6"/>
      <c r="P3" s="6"/>
      <c r="Q3" s="6"/>
      <c r="R3" s="6"/>
      <c r="S3" s="6"/>
      <c r="T3" s="6"/>
      <c r="U3" s="6"/>
      <c r="V3" s="6"/>
      <c r="W3" s="6"/>
      <c r="X3" s="6"/>
      <c r="Y3" s="6"/>
      <c r="Z3" s="6"/>
      <c r="AA3" s="6"/>
      <c r="AB3" s="6"/>
      <c r="AC3" s="6"/>
      <c r="AD3" s="6"/>
      <c r="AE3" s="6"/>
      <c r="AF3" s="6"/>
      <c r="AG3" s="6"/>
      <c r="AH3" s="6"/>
      <c r="AI3" s="6"/>
      <c r="AJ3" s="6"/>
      <c r="AK3" s="6"/>
      <c r="AL3" s="3"/>
      <c r="AM3" s="3"/>
      <c r="AN3" s="3"/>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row>
    <row r="4" spans="1:124" ht="18" customHeight="1" x14ac:dyDescent="0.25">
      <c r="A4" s="6"/>
      <c r="B4" s="6"/>
      <c r="C4" s="6"/>
      <c r="D4" s="7"/>
      <c r="E4" s="7"/>
      <c r="K4" s="41"/>
      <c r="L4" s="11"/>
      <c r="M4" s="6"/>
      <c r="N4" s="6"/>
      <c r="O4" s="6"/>
      <c r="P4" s="6"/>
      <c r="Q4" s="6"/>
      <c r="R4" s="6"/>
      <c r="S4" s="6"/>
      <c r="T4" s="6"/>
      <c r="U4" s="6"/>
      <c r="V4" s="6"/>
      <c r="W4" s="6"/>
      <c r="X4" s="6"/>
      <c r="Y4" s="6"/>
      <c r="Z4" s="6"/>
      <c r="AA4" s="6"/>
      <c r="AB4" s="6"/>
      <c r="AC4" s="6"/>
      <c r="AD4" s="6"/>
      <c r="AE4" s="6"/>
      <c r="AF4" s="6"/>
      <c r="AG4" s="6"/>
      <c r="AH4" s="6"/>
      <c r="AI4" s="6"/>
      <c r="AJ4" s="6"/>
      <c r="AK4" s="6"/>
      <c r="AL4" s="3"/>
      <c r="AM4" s="3"/>
      <c r="AN4" s="3"/>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row>
    <row r="5" spans="1:124" ht="18" customHeight="1" x14ac:dyDescent="0.25">
      <c r="A5" s="12"/>
      <c r="B5" s="12"/>
      <c r="C5" s="12"/>
      <c r="D5" s="13"/>
      <c r="E5" s="13"/>
      <c r="F5" s="12"/>
      <c r="G5" s="12"/>
      <c r="H5" s="593"/>
      <c r="I5" s="593"/>
      <c r="J5" s="43"/>
      <c r="K5" s="14"/>
      <c r="L5" s="14"/>
      <c r="M5" s="14"/>
      <c r="N5" s="14"/>
      <c r="O5" s="14"/>
      <c r="P5" s="14"/>
      <c r="Q5" s="14"/>
      <c r="R5" s="14"/>
      <c r="S5" s="14"/>
      <c r="T5" s="14"/>
      <c r="U5" s="14"/>
      <c r="V5" s="14"/>
      <c r="W5" s="14"/>
      <c r="X5" s="14"/>
      <c r="Y5" s="14"/>
      <c r="Z5" s="14"/>
      <c r="AA5" s="14"/>
      <c r="AB5" s="14"/>
      <c r="AC5" s="14"/>
      <c r="AD5" s="14"/>
      <c r="AE5" s="14"/>
      <c r="AF5" s="14"/>
      <c r="AG5" s="14"/>
      <c r="AH5" s="14"/>
      <c r="AI5" s="14"/>
      <c r="AJ5" s="6"/>
      <c r="AK5" s="6"/>
      <c r="AL5" s="3"/>
      <c r="AM5" s="3"/>
      <c r="AN5" s="3"/>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row>
    <row r="6" spans="1:124" ht="18" customHeight="1" x14ac:dyDescent="0.25">
      <c r="A6" s="12"/>
      <c r="B6" s="12"/>
      <c r="C6" s="12"/>
      <c r="D6" s="13"/>
      <c r="E6" s="13"/>
      <c r="F6" s="12"/>
      <c r="G6" s="12"/>
      <c r="H6" s="593"/>
      <c r="I6" s="593"/>
      <c r="J6" s="43"/>
      <c r="K6" s="14"/>
      <c r="L6" s="14"/>
      <c r="M6" s="14"/>
      <c r="N6" s="14"/>
      <c r="O6" s="14"/>
      <c r="P6" s="14"/>
      <c r="Q6" s="14"/>
      <c r="R6" s="14"/>
      <c r="S6" s="14"/>
      <c r="T6" s="14"/>
      <c r="U6" s="14"/>
      <c r="V6" s="14"/>
      <c r="W6" s="14"/>
      <c r="X6" s="14"/>
      <c r="Y6" s="14"/>
      <c r="Z6" s="14"/>
      <c r="AA6" s="14"/>
      <c r="AB6" s="14"/>
      <c r="AC6" s="14"/>
      <c r="AD6" s="14"/>
      <c r="AE6" s="14"/>
      <c r="AF6" s="14"/>
      <c r="AG6" s="14"/>
      <c r="AH6" s="14"/>
      <c r="AI6" s="14"/>
      <c r="AJ6" s="6"/>
      <c r="AK6" s="6"/>
      <c r="AL6" s="3"/>
      <c r="AM6" s="3"/>
      <c r="AN6" s="3"/>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row>
    <row r="7" spans="1:124" ht="18" customHeight="1" x14ac:dyDescent="0.25">
      <c r="A7" s="12"/>
      <c r="B7" s="12"/>
      <c r="C7" s="12"/>
      <c r="D7" s="13"/>
      <c r="E7" s="13"/>
      <c r="F7" s="12"/>
      <c r="G7" s="12"/>
      <c r="H7" s="593"/>
      <c r="I7" s="593"/>
      <c r="J7" s="43"/>
      <c r="K7" s="14"/>
      <c r="L7" s="14"/>
      <c r="M7" s="14"/>
      <c r="N7" s="14"/>
      <c r="O7" s="14"/>
      <c r="P7" s="14"/>
      <c r="Q7" s="14"/>
      <c r="R7" s="14"/>
      <c r="S7" s="14"/>
      <c r="T7" s="14"/>
      <c r="U7" s="14"/>
      <c r="V7" s="14"/>
      <c r="W7" s="14"/>
      <c r="X7" s="14"/>
      <c r="Y7" s="14"/>
      <c r="Z7" s="14"/>
      <c r="AA7" s="14"/>
      <c r="AB7" s="14"/>
      <c r="AC7" s="14"/>
      <c r="AD7" s="14"/>
      <c r="AE7" s="14"/>
      <c r="AF7" s="14"/>
      <c r="AG7" s="14"/>
      <c r="AH7" s="14"/>
      <c r="AI7" s="14"/>
      <c r="AJ7" s="6"/>
      <c r="AK7" s="6"/>
      <c r="AL7" s="3"/>
      <c r="AM7" s="3"/>
      <c r="AN7" s="3"/>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row>
    <row r="8" spans="1:124" ht="18" customHeight="1" x14ac:dyDescent="0.25">
      <c r="A8" s="12"/>
      <c r="B8" s="12"/>
      <c r="C8" s="12"/>
      <c r="D8" s="13"/>
      <c r="E8" s="13"/>
      <c r="F8" s="12"/>
      <c r="G8" s="12"/>
      <c r="H8" s="593"/>
      <c r="I8" s="593"/>
      <c r="J8" s="44"/>
      <c r="K8" s="14"/>
      <c r="L8" s="14"/>
      <c r="M8" s="14"/>
      <c r="N8" s="14"/>
      <c r="O8" s="14"/>
      <c r="P8" s="14"/>
      <c r="Q8" s="14"/>
      <c r="R8" s="14"/>
      <c r="S8" s="14"/>
      <c r="T8" s="14"/>
      <c r="U8" s="14"/>
      <c r="V8" s="14"/>
      <c r="W8" s="14"/>
      <c r="X8" s="14"/>
      <c r="Y8" s="14"/>
      <c r="Z8" s="14"/>
      <c r="AA8" s="14"/>
      <c r="AB8" s="14"/>
      <c r="AC8" s="14"/>
      <c r="AD8" s="14"/>
      <c r="AE8" s="14"/>
      <c r="AF8" s="14"/>
      <c r="AG8" s="14"/>
      <c r="AH8" s="14"/>
      <c r="AI8" s="14"/>
      <c r="AJ8" s="6"/>
      <c r="AK8" s="6"/>
      <c r="AL8" s="3"/>
      <c r="AM8" s="3"/>
      <c r="AN8" s="3"/>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ht="18" customHeight="1" x14ac:dyDescent="0.25">
      <c r="A9" s="12"/>
      <c r="B9" s="12"/>
      <c r="C9" s="12"/>
      <c r="D9" s="13"/>
      <c r="E9" s="13"/>
      <c r="F9" s="12"/>
      <c r="G9" s="12"/>
      <c r="H9" s="593"/>
      <c r="I9" s="593"/>
      <c r="J9" s="39"/>
      <c r="K9" s="14"/>
      <c r="L9" s="14"/>
      <c r="M9" s="14"/>
      <c r="N9" s="14"/>
      <c r="O9" s="14"/>
      <c r="P9" s="14"/>
      <c r="Q9" s="14"/>
      <c r="R9" s="14"/>
      <c r="S9" s="14"/>
      <c r="T9" s="14"/>
      <c r="U9" s="14"/>
      <c r="V9" s="14"/>
      <c r="W9" s="14"/>
      <c r="X9" s="14"/>
      <c r="Y9" s="14"/>
      <c r="Z9" s="14"/>
      <c r="AA9" s="14"/>
      <c r="AB9" s="14"/>
      <c r="AC9" s="14"/>
      <c r="AD9" s="14"/>
      <c r="AE9" s="14"/>
      <c r="AF9" s="14"/>
      <c r="AG9" s="14"/>
      <c r="AH9" s="14"/>
      <c r="AI9" s="14"/>
      <c r="AJ9" s="6"/>
      <c r="AK9" s="6"/>
      <c r="AL9" s="3"/>
      <c r="AM9" s="3"/>
      <c r="AN9" s="3"/>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row>
    <row r="10" spans="1:124" ht="127.35" customHeight="1" x14ac:dyDescent="0.25">
      <c r="A10" s="151"/>
      <c r="B10" s="12"/>
      <c r="C10" s="12"/>
      <c r="D10" s="13"/>
      <c r="E10" s="13"/>
      <c r="F10" s="12"/>
      <c r="G10" s="12"/>
      <c r="H10" s="12"/>
      <c r="I10" s="12"/>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21"/>
      <c r="AI10" s="21"/>
      <c r="AJ10" s="80"/>
      <c r="AK10" s="6"/>
      <c r="AL10" s="3"/>
      <c r="AM10" s="3"/>
      <c r="AN10" s="3"/>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row>
    <row r="11" spans="1:124" ht="18" customHeight="1" x14ac:dyDescent="0.25">
      <c r="A11" s="62" t="s">
        <v>232</v>
      </c>
      <c r="B11" s="24">
        <f>IRAS_REF</f>
        <v>281958</v>
      </c>
      <c r="C11" s="29"/>
      <c r="D11" s="13"/>
      <c r="E11" s="13"/>
      <c r="F11" s="12"/>
      <c r="G11" s="12"/>
      <c r="H11" s="12"/>
      <c r="I11" s="12"/>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21"/>
      <c r="AI11" s="21"/>
      <c r="AJ11" s="6"/>
      <c r="AK11" s="6"/>
      <c r="AL11" s="3"/>
      <c r="AM11" s="3"/>
      <c r="AN11" s="3"/>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row>
    <row r="12" spans="1:124" s="27" customFormat="1" ht="18" customHeight="1" x14ac:dyDescent="0.25">
      <c r="A12" s="62" t="s">
        <v>191</v>
      </c>
      <c r="B12" s="236">
        <f>SUMIF(total_cost_per_activity,"&lt;&gt;"&amp;"#N/A")</f>
        <v>14.7</v>
      </c>
      <c r="C12" s="12"/>
      <c r="D12" s="12"/>
      <c r="E12" s="12"/>
      <c r="F12" s="12"/>
      <c r="G12" s="12"/>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21"/>
      <c r="AH12" s="6"/>
      <c r="AI12" s="6"/>
      <c r="AJ12" s="3"/>
      <c r="AK12" s="3"/>
      <c r="AL12" s="3"/>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row>
    <row r="13" spans="1:124" ht="18" customHeight="1" x14ac:dyDescent="0.25">
      <c r="A13" s="6"/>
      <c r="B13" s="6"/>
      <c r="C13" s="6"/>
      <c r="D13" s="7"/>
      <c r="E13" s="7"/>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3"/>
      <c r="AM13" s="3"/>
      <c r="AN13" s="3"/>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row>
    <row r="14" spans="1:124" s="2" customFormat="1" ht="75" x14ac:dyDescent="0.25">
      <c r="A14" s="95" t="s">
        <v>513</v>
      </c>
      <c r="B14" s="96" t="s">
        <v>517</v>
      </c>
      <c r="C14" s="97" t="s">
        <v>515</v>
      </c>
      <c r="D14" s="98" t="s">
        <v>516</v>
      </c>
      <c r="E14" s="98" t="s">
        <v>687</v>
      </c>
      <c r="F14" s="99" t="s">
        <v>0</v>
      </c>
      <c r="G14" s="99" t="s">
        <v>1</v>
      </c>
      <c r="H14" s="99" t="s">
        <v>195</v>
      </c>
      <c r="I14" s="99" t="s">
        <v>196</v>
      </c>
      <c r="J14" s="99" t="s">
        <v>197</v>
      </c>
      <c r="K14" s="99" t="s">
        <v>198</v>
      </c>
      <c r="L14" s="99" t="s">
        <v>199</v>
      </c>
      <c r="M14" s="99" t="s">
        <v>200</v>
      </c>
      <c r="N14" s="99" t="s">
        <v>201</v>
      </c>
      <c r="O14" s="99" t="s">
        <v>202</v>
      </c>
      <c r="P14" s="99" t="s">
        <v>203</v>
      </c>
      <c r="Q14" s="99" t="s">
        <v>204</v>
      </c>
      <c r="R14" s="99" t="s">
        <v>205</v>
      </c>
      <c r="S14" s="99" t="s">
        <v>206</v>
      </c>
      <c r="T14" s="99" t="s">
        <v>207</v>
      </c>
      <c r="U14" s="99" t="s">
        <v>208</v>
      </c>
      <c r="V14" s="99" t="s">
        <v>209</v>
      </c>
      <c r="W14" s="99" t="s">
        <v>210</v>
      </c>
      <c r="X14" s="99" t="s">
        <v>211</v>
      </c>
      <c r="Y14" s="99" t="s">
        <v>212</v>
      </c>
      <c r="Z14" s="99" t="s">
        <v>213</v>
      </c>
      <c r="AA14" s="99" t="s">
        <v>214</v>
      </c>
      <c r="AB14" s="99" t="s">
        <v>215</v>
      </c>
      <c r="AC14" s="99" t="s">
        <v>216</v>
      </c>
      <c r="AD14" s="99" t="s">
        <v>217</v>
      </c>
      <c r="AE14" s="99" t="s">
        <v>218</v>
      </c>
      <c r="AF14" s="99" t="s">
        <v>219</v>
      </c>
      <c r="AG14" s="99" t="s">
        <v>220</v>
      </c>
      <c r="AH14" s="100" t="s">
        <v>189</v>
      </c>
      <c r="AI14" s="89" t="s">
        <v>188</v>
      </c>
      <c r="AJ14" s="89" t="s">
        <v>194</v>
      </c>
      <c r="AK14" s="94" t="s">
        <v>229</v>
      </c>
      <c r="AL14" s="135"/>
      <c r="AM14" s="135"/>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row>
    <row r="15" spans="1:124" s="2" customFormat="1" ht="31.5" customHeight="1" x14ac:dyDescent="0.25">
      <c r="A15" s="126"/>
      <c r="B15" s="126"/>
      <c r="C15" s="136" t="s">
        <v>230</v>
      </c>
      <c r="D15" s="101"/>
      <c r="E15" s="127"/>
      <c r="F15" s="103" t="s">
        <v>2</v>
      </c>
      <c r="G15" s="103" t="s">
        <v>3</v>
      </c>
      <c r="H15" s="103" t="s">
        <v>4</v>
      </c>
      <c r="I15" s="103" t="s">
        <v>5</v>
      </c>
      <c r="J15" s="103" t="s">
        <v>6</v>
      </c>
      <c r="K15" s="103" t="s">
        <v>7</v>
      </c>
      <c r="L15" s="103" t="s">
        <v>8</v>
      </c>
      <c r="M15" s="103" t="s">
        <v>9</v>
      </c>
      <c r="N15" s="103" t="s">
        <v>10</v>
      </c>
      <c r="O15" s="103" t="s">
        <v>11</v>
      </c>
      <c r="P15" s="103" t="s">
        <v>12</v>
      </c>
      <c r="Q15" s="103" t="s">
        <v>13</v>
      </c>
      <c r="R15" s="103" t="s">
        <v>14</v>
      </c>
      <c r="S15" s="103" t="s">
        <v>15</v>
      </c>
      <c r="T15" s="103" t="s">
        <v>16</v>
      </c>
      <c r="U15" s="103" t="s">
        <v>17</v>
      </c>
      <c r="V15" s="103" t="s">
        <v>18</v>
      </c>
      <c r="W15" s="103" t="s">
        <v>19</v>
      </c>
      <c r="X15" s="103" t="s">
        <v>20</v>
      </c>
      <c r="Y15" s="103" t="s">
        <v>21</v>
      </c>
      <c r="Z15" s="103" t="s">
        <v>22</v>
      </c>
      <c r="AA15" s="103" t="s">
        <v>23</v>
      </c>
      <c r="AB15" s="103" t="s">
        <v>24</v>
      </c>
      <c r="AC15" s="103" t="s">
        <v>25</v>
      </c>
      <c r="AD15" s="103" t="s">
        <v>26</v>
      </c>
      <c r="AE15" s="103" t="s">
        <v>27</v>
      </c>
      <c r="AF15" s="103" t="s">
        <v>28</v>
      </c>
      <c r="AG15" s="103" t="s">
        <v>29</v>
      </c>
      <c r="AH15" s="104"/>
      <c r="AI15" s="105"/>
      <c r="AJ15" s="105"/>
      <c r="AK15" s="137"/>
      <c r="AL15" s="135"/>
      <c r="AM15" s="135"/>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row>
    <row r="16" spans="1:124" s="2" customFormat="1" x14ac:dyDescent="0.25">
      <c r="A16" s="110" t="s">
        <v>235</v>
      </c>
      <c r="B16" s="111" t="s">
        <v>697</v>
      </c>
      <c r="C16" s="112">
        <v>10</v>
      </c>
      <c r="D16" s="111" t="s">
        <v>670</v>
      </c>
      <c r="E16" s="575"/>
      <c r="F16" s="114" t="s">
        <v>193</v>
      </c>
      <c r="G16" s="113"/>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f>IF(INDEX(TARIFF_TABLE[#All], MATCH($B16,TARIFF_TABLE[[#All],[Activity]],0),MATCH("ActivityType",TARIFF_TABLE[#Headers]))="Investigation",INDEX(TARIFF_TABLE[#All], MATCH($B16,TARIFF_TABLE[[#All],[Activity]],0),MATCH("Cost",TARIFF_TABLE[#Headers],0)),INDEX(Staff_Costs[#All],MATCH('Standard of Care'!D16,Staff_Costs[[#All],[Role]],0),MATCH("Per-minute cost",Staff_Costs[#Headers],0))*'Standard of Care'!C16)</f>
        <v>14.7</v>
      </c>
      <c r="AJ16" s="475">
        <f>$AI16*COUNTA(tbl_Part_Act5[[#This Row],[Day -x to -y]:[Column27]])</f>
        <v>14.7</v>
      </c>
      <c r="AK16" s="137" t="e">
        <f>INDEX('Tariff (hidden)'!$B$4:$B$133,MATCH(B16,'Tariff (hidden)'!$A$4:$A$133,0))</f>
        <v>#N/A</v>
      </c>
      <c r="AL16" s="135"/>
      <c r="AM16" s="135"/>
      <c r="AN16" s="124"/>
      <c r="AO16" s="576" t="e">
        <f>AK16</f>
        <v>#N/A</v>
      </c>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row>
    <row r="17" spans="1:124" s="2" customFormat="1" x14ac:dyDescent="0.25">
      <c r="A17" s="110"/>
      <c r="B17" s="111"/>
      <c r="C17" s="112"/>
      <c r="D17" s="111"/>
      <c r="E17" s="575"/>
      <c r="F17" s="114"/>
      <c r="G17" s="113"/>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MATCH($B17,TARIFF_TABLE[[#All],[Activity]],0),MATCH("Cost",TARIFF_TABLE[#Headers],0)),INDEX(Staff_Costs[#All],MATCH('Standard of Care'!D17,Staff_Costs[[#All],[Role]],0),MATCH("Per-minute cost",Staff_Costs[#Headers],0))*'Standard of Care'!C17)</f>
        <v>#N/A</v>
      </c>
      <c r="AJ17" s="475" t="e">
        <f>$AI17*COUNTA(tbl_Part_Act5[[#This Row],[Day -x to -y]:[Column27]])</f>
        <v>#N/A</v>
      </c>
      <c r="AK17" s="137" t="e">
        <f>INDEX('Tariff (hidden)'!$B$4:$B$133,MATCH(B17,'Tariff (hidden)'!$A$4:$A$133,0))</f>
        <v>#N/A</v>
      </c>
      <c r="AL17" s="135"/>
      <c r="AM17" s="135"/>
      <c r="AN17" s="124"/>
      <c r="AO17" s="576" t="e">
        <f t="shared" ref="AO17:AO80" si="0">AK17</f>
        <v>#N/A</v>
      </c>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row>
    <row r="18" spans="1:124" s="2" customFormat="1" x14ac:dyDescent="0.25">
      <c r="A18" s="110"/>
      <c r="B18" s="111"/>
      <c r="C18" s="112"/>
      <c r="D18" s="111"/>
      <c r="E18" s="575"/>
      <c r="F18" s="114"/>
      <c r="G18" s="113"/>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MATCH($B18,TARIFF_TABLE[[#All],[Activity]],0),MATCH("Cost",TARIFF_TABLE[#Headers],0)),INDEX(Staff_Costs[#All],MATCH('Standard of Care'!D18,Staff_Costs[[#All],[Role]],0),MATCH("Per-minute cost",Staff_Costs[#Headers],0))*'Standard of Care'!C18)</f>
        <v>#N/A</v>
      </c>
      <c r="AJ18" s="475" t="e">
        <f>$AI18*COUNTA(tbl_Part_Act5[[#This Row],[Day -x to -y]:[Column27]])</f>
        <v>#N/A</v>
      </c>
      <c r="AK18" s="137" t="e">
        <f>INDEX('Tariff (hidden)'!$B$4:$B$133,MATCH(B18,'Tariff (hidden)'!$A$4:$A$133,0))</f>
        <v>#N/A</v>
      </c>
      <c r="AL18" s="135"/>
      <c r="AM18" s="135"/>
      <c r="AN18" s="124"/>
      <c r="AO18" s="576" t="e">
        <f t="shared" si="0"/>
        <v>#N/A</v>
      </c>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row>
    <row r="19" spans="1:124" s="2" customFormat="1" x14ac:dyDescent="0.25">
      <c r="A19" s="110"/>
      <c r="B19" s="111"/>
      <c r="C19" s="112"/>
      <c r="D19" s="111"/>
      <c r="E19" s="575"/>
      <c r="F19" s="114"/>
      <c r="G19" s="113"/>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MATCH($B19,TARIFF_TABLE[[#All],[Activity]],0),MATCH("Cost",TARIFF_TABLE[#Headers],0)),INDEX(Staff_Costs[#All],MATCH('Standard of Care'!D19,Staff_Costs[[#All],[Role]],0),MATCH("Per-minute cost",Staff_Costs[#Headers],0))*'Standard of Care'!C19)</f>
        <v>#N/A</v>
      </c>
      <c r="AJ19" s="475" t="e">
        <f>$AI19*COUNTA(tbl_Part_Act5[[#This Row],[Day -x to -y]:[Column27]])</f>
        <v>#N/A</v>
      </c>
      <c r="AK19" s="137" t="e">
        <f>INDEX('Tariff (hidden)'!$B$4:$B$133,MATCH(B19,'Tariff (hidden)'!$A$4:$A$133,0))</f>
        <v>#N/A</v>
      </c>
      <c r="AL19" s="135"/>
      <c r="AM19" s="135"/>
      <c r="AN19" s="124"/>
      <c r="AO19" s="576" t="e">
        <f t="shared" si="0"/>
        <v>#N/A</v>
      </c>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row>
    <row r="20" spans="1:124" s="2" customFormat="1" x14ac:dyDescent="0.25">
      <c r="A20" s="110"/>
      <c r="B20" s="111"/>
      <c r="C20" s="112"/>
      <c r="D20" s="111"/>
      <c r="E20" s="575"/>
      <c r="F20" s="114"/>
      <c r="G20" s="113"/>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MATCH($B20,TARIFF_TABLE[[#All],[Activity]],0),MATCH("Cost",TARIFF_TABLE[#Headers],0)),INDEX(Staff_Costs[#All],MATCH('Standard of Care'!D20,Staff_Costs[[#All],[Role]],0),MATCH("Per-minute cost",Staff_Costs[#Headers],0))*'Standard of Care'!C20)</f>
        <v>#N/A</v>
      </c>
      <c r="AJ20" s="475" t="e">
        <f>$AI20*COUNTA(tbl_Part_Act5[[#This Row],[Day -x to -y]:[Column27]])</f>
        <v>#N/A</v>
      </c>
      <c r="AK20" s="137" t="e">
        <f>INDEX('Tariff (hidden)'!$B$4:$B$133,MATCH(B20,'Tariff (hidden)'!$A$4:$A$133,0))</f>
        <v>#N/A</v>
      </c>
      <c r="AL20" s="135"/>
      <c r="AM20" s="135"/>
      <c r="AN20" s="124"/>
      <c r="AO20" s="576" t="e">
        <f t="shared" si="0"/>
        <v>#N/A</v>
      </c>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row>
    <row r="21" spans="1:124" s="2" customFormat="1" x14ac:dyDescent="0.25">
      <c r="A21" s="110"/>
      <c r="B21" s="111"/>
      <c r="C21" s="112"/>
      <c r="D21" s="111"/>
      <c r="E21" s="575"/>
      <c r="F21" s="114"/>
      <c r="G21" s="113"/>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MATCH($B21,TARIFF_TABLE[[#All],[Activity]],0),MATCH("Cost",TARIFF_TABLE[#Headers],0)),INDEX(Staff_Costs[#All],MATCH('Standard of Care'!D21,Staff_Costs[[#All],[Role]],0),MATCH("Per-minute cost",Staff_Costs[#Headers],0))*'Standard of Care'!C21)</f>
        <v>#N/A</v>
      </c>
      <c r="AJ21" s="475" t="e">
        <f>$AI21*COUNTA(tbl_Part_Act5[[#This Row],[Day -x to -y]:[Column27]])</f>
        <v>#N/A</v>
      </c>
      <c r="AK21" s="137" t="e">
        <f>INDEX('Tariff (hidden)'!$B$4:$B$133,MATCH(B21,'Tariff (hidden)'!$A$4:$A$133,0))</f>
        <v>#N/A</v>
      </c>
      <c r="AL21" s="135"/>
      <c r="AM21" s="135"/>
      <c r="AN21" s="124"/>
      <c r="AO21" s="576" t="e">
        <f t="shared" si="0"/>
        <v>#N/A</v>
      </c>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row>
    <row r="22" spans="1:124" s="2" customFormat="1" x14ac:dyDescent="0.25">
      <c r="A22" s="110"/>
      <c r="B22" s="111"/>
      <c r="C22" s="112"/>
      <c r="D22" s="111"/>
      <c r="E22" s="575"/>
      <c r="F22" s="114"/>
      <c r="G22" s="113"/>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MATCH($B22,TARIFF_TABLE[[#All],[Activity]],0),MATCH("Cost",TARIFF_TABLE[#Headers],0)),INDEX(Staff_Costs[#All],MATCH('Standard of Care'!D22,Staff_Costs[[#All],[Role]],0),MATCH("Per-minute cost",Staff_Costs[#Headers],0))*'Standard of Care'!C22)</f>
        <v>#N/A</v>
      </c>
      <c r="AJ22" s="475" t="e">
        <f>$AI22*COUNTA(tbl_Part_Act5[[#This Row],[Day -x to -y]:[Column27]])</f>
        <v>#N/A</v>
      </c>
      <c r="AK22" s="137" t="e">
        <f>INDEX('Tariff (hidden)'!$B$4:$B$133,MATCH(B22,'Tariff (hidden)'!$A$4:$A$133,0))</f>
        <v>#N/A</v>
      </c>
      <c r="AL22" s="135"/>
      <c r="AM22" s="135"/>
      <c r="AN22" s="124"/>
      <c r="AO22" s="576" t="e">
        <f t="shared" si="0"/>
        <v>#N/A</v>
      </c>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row>
    <row r="23" spans="1:124" s="2" customFormat="1" x14ac:dyDescent="0.25">
      <c r="A23" s="110"/>
      <c r="B23" s="111"/>
      <c r="C23" s="112"/>
      <c r="D23" s="111"/>
      <c r="E23" s="575"/>
      <c r="F23" s="114"/>
      <c r="G23" s="113"/>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MATCH($B23,TARIFF_TABLE[[#All],[Activity]],0),MATCH("Cost",TARIFF_TABLE[#Headers],0)),INDEX(Staff_Costs[#All],MATCH('Standard of Care'!D23,Staff_Costs[[#All],[Role]],0),MATCH("Per-minute cost",Staff_Costs[#Headers],0))*'Standard of Care'!C23)</f>
        <v>#N/A</v>
      </c>
      <c r="AJ23" s="475" t="e">
        <f>$AI23*COUNTA(tbl_Part_Act5[[#This Row],[Day -x to -y]:[Column27]])</f>
        <v>#N/A</v>
      </c>
      <c r="AK23" s="137" t="e">
        <f>INDEX('Tariff (hidden)'!$B$4:$B$133,MATCH(B23,'Tariff (hidden)'!$A$4:$A$133,0))</f>
        <v>#N/A</v>
      </c>
      <c r="AL23" s="135"/>
      <c r="AM23" s="135"/>
      <c r="AN23" s="124"/>
      <c r="AO23" s="576" t="e">
        <f t="shared" si="0"/>
        <v>#N/A</v>
      </c>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row>
    <row r="24" spans="1:124" s="2" customFormat="1" x14ac:dyDescent="0.25">
      <c r="A24" s="110"/>
      <c r="B24" s="111"/>
      <c r="C24" s="112"/>
      <c r="D24" s="111"/>
      <c r="E24" s="575"/>
      <c r="F24" s="114"/>
      <c r="G24" s="113"/>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MATCH($B24,TARIFF_TABLE[[#All],[Activity]],0),MATCH("Cost",TARIFF_TABLE[#Headers],0)),INDEX(Staff_Costs[#All],MATCH('Standard of Care'!D24,Staff_Costs[[#All],[Role]],0),MATCH("Per-minute cost",Staff_Costs[#Headers],0))*'Standard of Care'!C24)</f>
        <v>#N/A</v>
      </c>
      <c r="AJ24" s="475" t="e">
        <f>$AI24*COUNTA(tbl_Part_Act5[[#This Row],[Day -x to -y]:[Column27]])</f>
        <v>#N/A</v>
      </c>
      <c r="AK24" s="137" t="e">
        <f>INDEX('Tariff (hidden)'!$B$4:$B$133,MATCH(B24,'Tariff (hidden)'!$A$4:$A$133,0))</f>
        <v>#N/A</v>
      </c>
      <c r="AL24" s="135"/>
      <c r="AM24" s="135"/>
      <c r="AN24" s="124"/>
      <c r="AO24" s="576" t="e">
        <f t="shared" si="0"/>
        <v>#N/A</v>
      </c>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row>
    <row r="25" spans="1:124" s="2" customFormat="1" x14ac:dyDescent="0.25">
      <c r="A25" s="110"/>
      <c r="B25" s="111"/>
      <c r="C25" s="112"/>
      <c r="D25" s="111"/>
      <c r="E25" s="575"/>
      <c r="F25" s="114"/>
      <c r="G25" s="113"/>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MATCH($B25,TARIFF_TABLE[[#All],[Activity]],0),MATCH("Cost",TARIFF_TABLE[#Headers],0)),INDEX(Staff_Costs[#All],MATCH('Standard of Care'!D25,Staff_Costs[[#All],[Role]],0),MATCH("Per-minute cost",Staff_Costs[#Headers],0))*'Standard of Care'!C25)</f>
        <v>#N/A</v>
      </c>
      <c r="AJ25" s="475" t="e">
        <f>$AI25*COUNTA(tbl_Part_Act5[[#This Row],[Day -x to -y]:[Column27]])</f>
        <v>#N/A</v>
      </c>
      <c r="AK25" s="137" t="e">
        <f>INDEX('Tariff (hidden)'!$B$4:$B$133,MATCH(B25,'Tariff (hidden)'!$A$4:$A$133,0))</f>
        <v>#N/A</v>
      </c>
      <c r="AL25" s="135"/>
      <c r="AM25" s="135"/>
      <c r="AN25" s="124"/>
      <c r="AO25" s="576" t="e">
        <f t="shared" si="0"/>
        <v>#N/A</v>
      </c>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row>
    <row r="26" spans="1:124" s="2" customFormat="1" x14ac:dyDescent="0.25">
      <c r="A26" s="110"/>
      <c r="B26" s="111"/>
      <c r="C26" s="112"/>
      <c r="D26" s="111"/>
      <c r="E26" s="575"/>
      <c r="F26" s="114"/>
      <c r="G26" s="113"/>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MATCH($B26,TARIFF_TABLE[[#All],[Activity]],0),MATCH("Cost",TARIFF_TABLE[#Headers],0)),INDEX(Staff_Costs[#All],MATCH('Standard of Care'!D26,Staff_Costs[[#All],[Role]],0),MATCH("Per-minute cost",Staff_Costs[#Headers],0))*'Standard of Care'!C26)</f>
        <v>#N/A</v>
      </c>
      <c r="AJ26" s="475" t="e">
        <f>$AI26*COUNTA(tbl_Part_Act5[[#This Row],[Day -x to -y]:[Column27]])</f>
        <v>#N/A</v>
      </c>
      <c r="AK26" s="137" t="e">
        <f>INDEX('Tariff (hidden)'!$B$4:$B$133,MATCH(B26,'Tariff (hidden)'!$A$4:$A$133,0))</f>
        <v>#N/A</v>
      </c>
      <c r="AL26" s="135"/>
      <c r="AM26" s="135"/>
      <c r="AN26" s="124"/>
      <c r="AO26" s="576" t="e">
        <f t="shared" si="0"/>
        <v>#N/A</v>
      </c>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row>
    <row r="27" spans="1:124" s="2" customFormat="1" x14ac:dyDescent="0.25">
      <c r="A27" s="110"/>
      <c r="B27" s="111"/>
      <c r="C27" s="112"/>
      <c r="D27" s="111"/>
      <c r="E27" s="575"/>
      <c r="F27" s="114"/>
      <c r="G27" s="113"/>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MATCH($B27,TARIFF_TABLE[[#All],[Activity]],0),MATCH("Cost",TARIFF_TABLE[#Headers],0)),INDEX(Staff_Costs[#All],MATCH('Standard of Care'!D27,Staff_Costs[[#All],[Role]],0),MATCH("Per-minute cost",Staff_Costs[#Headers],0))*'Standard of Care'!C27)</f>
        <v>#N/A</v>
      </c>
      <c r="AJ27" s="475" t="e">
        <f>$AI27*COUNTA(tbl_Part_Act5[[#This Row],[Day -x to -y]:[Column27]])</f>
        <v>#N/A</v>
      </c>
      <c r="AK27" s="137" t="e">
        <f>INDEX('Tariff (hidden)'!$B$4:$B$133,MATCH(B27,'Tariff (hidden)'!$A$4:$A$133,0))</f>
        <v>#N/A</v>
      </c>
      <c r="AL27" s="135"/>
      <c r="AM27" s="135"/>
      <c r="AN27" s="124"/>
      <c r="AO27" s="576" t="e">
        <f t="shared" si="0"/>
        <v>#N/A</v>
      </c>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row>
    <row r="28" spans="1:124" s="2" customFormat="1" x14ac:dyDescent="0.25">
      <c r="A28" s="110"/>
      <c r="B28" s="111"/>
      <c r="C28" s="112"/>
      <c r="D28" s="111"/>
      <c r="E28" s="575"/>
      <c r="F28" s="114"/>
      <c r="G28" s="113"/>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MATCH($B28,TARIFF_TABLE[[#All],[Activity]],0),MATCH("Cost",TARIFF_TABLE[#Headers],0)),INDEX(Staff_Costs[#All],MATCH('Standard of Care'!D28,Staff_Costs[[#All],[Role]],0),MATCH("Per-minute cost",Staff_Costs[#Headers],0))*'Standard of Care'!C28)</f>
        <v>#N/A</v>
      </c>
      <c r="AJ28" s="475" t="e">
        <f>$AI28*COUNTA(tbl_Part_Act5[[#This Row],[Day -x to -y]:[Column27]])</f>
        <v>#N/A</v>
      </c>
      <c r="AK28" s="137" t="e">
        <f>INDEX('Tariff (hidden)'!$B$4:$B$133,MATCH(B28,'Tariff (hidden)'!$A$4:$A$133,0))</f>
        <v>#N/A</v>
      </c>
      <c r="AL28" s="135"/>
      <c r="AM28" s="135"/>
      <c r="AN28" s="124"/>
      <c r="AO28" s="576" t="e">
        <f t="shared" si="0"/>
        <v>#N/A</v>
      </c>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row>
    <row r="29" spans="1:124" s="2" customFormat="1" x14ac:dyDescent="0.25">
      <c r="A29" s="110"/>
      <c r="B29" s="111"/>
      <c r="C29" s="112"/>
      <c r="D29" s="111"/>
      <c r="E29" s="575"/>
      <c r="F29" s="114"/>
      <c r="G29" s="113"/>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MATCH($B29,TARIFF_TABLE[[#All],[Activity]],0),MATCH("Cost",TARIFF_TABLE[#Headers],0)),INDEX(Staff_Costs[#All],MATCH('Standard of Care'!D29,Staff_Costs[[#All],[Role]],0),MATCH("Per-minute cost",Staff_Costs[#Headers],0))*'Standard of Care'!C29)</f>
        <v>#N/A</v>
      </c>
      <c r="AJ29" s="475" t="e">
        <f>$AI29*COUNTA(tbl_Part_Act5[[#This Row],[Day -x to -y]:[Column27]])</f>
        <v>#N/A</v>
      </c>
      <c r="AK29" s="137" t="e">
        <f>INDEX('Tariff (hidden)'!$B$4:$B$133,MATCH(B29,'Tariff (hidden)'!$A$4:$A$133,0))</f>
        <v>#N/A</v>
      </c>
      <c r="AL29" s="135"/>
      <c r="AM29" s="135"/>
      <c r="AN29" s="124"/>
      <c r="AO29" s="576" t="e">
        <f t="shared" si="0"/>
        <v>#N/A</v>
      </c>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row>
    <row r="30" spans="1:124" s="2" customFormat="1" x14ac:dyDescent="0.25">
      <c r="A30" s="110"/>
      <c r="B30" s="111"/>
      <c r="C30" s="112"/>
      <c r="D30" s="111"/>
      <c r="E30" s="575"/>
      <c r="F30" s="114"/>
      <c r="G30" s="113"/>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MATCH($B30,TARIFF_TABLE[[#All],[Activity]],0),MATCH("Cost",TARIFF_TABLE[#Headers],0)),INDEX(Staff_Costs[#All],MATCH('Standard of Care'!D30,Staff_Costs[[#All],[Role]],0),MATCH("Per-minute cost",Staff_Costs[#Headers],0))*'Standard of Care'!C30)</f>
        <v>#N/A</v>
      </c>
      <c r="AJ30" s="475" t="e">
        <f>$AI30*COUNTA(tbl_Part_Act5[[#This Row],[Day -x to -y]:[Column27]])</f>
        <v>#N/A</v>
      </c>
      <c r="AK30" s="137" t="e">
        <f>INDEX('Tariff (hidden)'!$B$4:$B$133,MATCH(B30,'Tariff (hidden)'!$A$4:$A$133,0))</f>
        <v>#N/A</v>
      </c>
      <c r="AL30" s="135"/>
      <c r="AM30" s="135"/>
      <c r="AN30" s="124"/>
      <c r="AO30" s="576" t="e">
        <f t="shared" si="0"/>
        <v>#N/A</v>
      </c>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row>
    <row r="31" spans="1:124" s="2" customFormat="1" x14ac:dyDescent="0.25">
      <c r="A31" s="110"/>
      <c r="B31" s="111"/>
      <c r="C31" s="112"/>
      <c r="D31" s="111"/>
      <c r="E31" s="575"/>
      <c r="F31" s="114"/>
      <c r="G31" s="113"/>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MATCH($B31,TARIFF_TABLE[[#All],[Activity]],0),MATCH("Cost",TARIFF_TABLE[#Headers],0)),INDEX(Staff_Costs[#All],MATCH('Standard of Care'!D31,Staff_Costs[[#All],[Role]],0),MATCH("Per-minute cost",Staff_Costs[#Headers],0))*'Standard of Care'!C31)</f>
        <v>#N/A</v>
      </c>
      <c r="AJ31" s="475" t="e">
        <f>$AI31*COUNTA(tbl_Part_Act5[[#This Row],[Day -x to -y]:[Column27]])</f>
        <v>#N/A</v>
      </c>
      <c r="AK31" s="137" t="e">
        <f>INDEX('Tariff (hidden)'!$B$4:$B$133,MATCH(B31,'Tariff (hidden)'!$A$4:$A$133,0))</f>
        <v>#N/A</v>
      </c>
      <c r="AL31" s="135"/>
      <c r="AM31" s="135"/>
      <c r="AN31" s="124"/>
      <c r="AO31" s="576" t="e">
        <f t="shared" si="0"/>
        <v>#N/A</v>
      </c>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row>
    <row r="32" spans="1:124" s="2" customFormat="1" x14ac:dyDescent="0.25">
      <c r="A32" s="110"/>
      <c r="B32" s="111"/>
      <c r="C32" s="112"/>
      <c r="D32" s="111"/>
      <c r="E32" s="575"/>
      <c r="F32" s="114"/>
      <c r="G32" s="113"/>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MATCH($B32,TARIFF_TABLE[[#All],[Activity]],0),MATCH("Cost",TARIFF_TABLE[#Headers],0)),INDEX(Staff_Costs[#All],MATCH('Standard of Care'!D32,Staff_Costs[[#All],[Role]],0),MATCH("Per-minute cost",Staff_Costs[#Headers],0))*'Standard of Care'!C32)</f>
        <v>#N/A</v>
      </c>
      <c r="AJ32" s="475" t="e">
        <f>$AI32*COUNTA(tbl_Part_Act5[[#This Row],[Day -x to -y]:[Column27]])</f>
        <v>#N/A</v>
      </c>
      <c r="AK32" s="137" t="e">
        <f>INDEX('Tariff (hidden)'!$B$4:$B$133,MATCH(B32,'Tariff (hidden)'!$A$4:$A$133,0))</f>
        <v>#N/A</v>
      </c>
      <c r="AL32" s="135"/>
      <c r="AM32" s="135"/>
      <c r="AN32" s="124"/>
      <c r="AO32" s="576" t="e">
        <f t="shared" si="0"/>
        <v>#N/A</v>
      </c>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row>
    <row r="33" spans="1:124" s="2" customFormat="1" x14ac:dyDescent="0.25">
      <c r="A33" s="110"/>
      <c r="B33" s="111"/>
      <c r="C33" s="112"/>
      <c r="D33" s="111"/>
      <c r="E33" s="575"/>
      <c r="F33" s="114"/>
      <c r="G33" s="113"/>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MATCH($B33,TARIFF_TABLE[[#All],[Activity]],0),MATCH("Cost",TARIFF_TABLE[#Headers],0)),INDEX(Staff_Costs[#All],MATCH('Standard of Care'!D33,Staff_Costs[[#All],[Role]],0),MATCH("Per-minute cost",Staff_Costs[#Headers],0))*'Standard of Care'!C33)</f>
        <v>#N/A</v>
      </c>
      <c r="AJ33" s="475" t="e">
        <f>$AI33*COUNTA(tbl_Part_Act5[[#This Row],[Day -x to -y]:[Column27]])</f>
        <v>#N/A</v>
      </c>
      <c r="AK33" s="137" t="e">
        <f>INDEX('Tariff (hidden)'!$B$4:$B$133,MATCH(B33,'Tariff (hidden)'!$A$4:$A$133,0))</f>
        <v>#N/A</v>
      </c>
      <c r="AL33" s="135"/>
      <c r="AM33" s="135"/>
      <c r="AN33" s="124"/>
      <c r="AO33" s="576" t="e">
        <f t="shared" si="0"/>
        <v>#N/A</v>
      </c>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row>
    <row r="34" spans="1:124" s="2" customFormat="1" x14ac:dyDescent="0.25">
      <c r="A34" s="110"/>
      <c r="B34" s="111"/>
      <c r="C34" s="112"/>
      <c r="D34" s="111"/>
      <c r="E34" s="575"/>
      <c r="F34" s="114"/>
      <c r="G34" s="113"/>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MATCH($B34,TARIFF_TABLE[[#All],[Activity]],0),MATCH("Cost",TARIFF_TABLE[#Headers],0)),INDEX(Staff_Costs[#All],MATCH('Standard of Care'!D34,Staff_Costs[[#All],[Role]],0),MATCH("Per-minute cost",Staff_Costs[#Headers],0))*'Standard of Care'!C34)</f>
        <v>#N/A</v>
      </c>
      <c r="AJ34" s="475" t="e">
        <f>$AI34*COUNTA(tbl_Part_Act5[[#This Row],[Day -x to -y]:[Column27]])</f>
        <v>#N/A</v>
      </c>
      <c r="AK34" s="137" t="e">
        <f>INDEX('Tariff (hidden)'!$B$4:$B$133,MATCH(B34,'Tariff (hidden)'!$A$4:$A$133,0))</f>
        <v>#N/A</v>
      </c>
      <c r="AL34" s="135"/>
      <c r="AM34" s="135"/>
      <c r="AN34" s="124"/>
      <c r="AO34" s="576" t="e">
        <f t="shared" si="0"/>
        <v>#N/A</v>
      </c>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row>
    <row r="35" spans="1:124" s="2" customFormat="1" x14ac:dyDescent="0.25">
      <c r="A35" s="110"/>
      <c r="B35" s="111"/>
      <c r="C35" s="112"/>
      <c r="D35" s="111"/>
      <c r="E35" s="575"/>
      <c r="F35" s="114"/>
      <c r="G35" s="113"/>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MATCH($B35,TARIFF_TABLE[[#All],[Activity]],0),MATCH("Cost",TARIFF_TABLE[#Headers],0)),INDEX(Staff_Costs[#All],MATCH('Standard of Care'!D35,Staff_Costs[[#All],[Role]],0),MATCH("Per-minute cost",Staff_Costs[#Headers],0))*'Standard of Care'!C35)</f>
        <v>#N/A</v>
      </c>
      <c r="AJ35" s="475" t="e">
        <f>$AI35*COUNTA(tbl_Part_Act5[[#This Row],[Day -x to -y]:[Column27]])</f>
        <v>#N/A</v>
      </c>
      <c r="AK35" s="137" t="e">
        <f>INDEX('Tariff (hidden)'!$B$4:$B$133,MATCH(B35,'Tariff (hidden)'!$A$4:$A$133,0))</f>
        <v>#N/A</v>
      </c>
      <c r="AL35" s="135"/>
      <c r="AM35" s="135"/>
      <c r="AN35" s="124"/>
      <c r="AO35" s="576" t="e">
        <f t="shared" si="0"/>
        <v>#N/A</v>
      </c>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row>
    <row r="36" spans="1:124" s="2" customFormat="1" x14ac:dyDescent="0.25">
      <c r="A36" s="110"/>
      <c r="B36" s="111"/>
      <c r="C36" s="112"/>
      <c r="D36" s="111"/>
      <c r="E36" s="575"/>
      <c r="F36" s="114"/>
      <c r="G36" s="113"/>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MATCH($B36,TARIFF_TABLE[[#All],[Activity]],0),MATCH("Cost",TARIFF_TABLE[#Headers],0)),INDEX(Staff_Costs[#All],MATCH('Standard of Care'!D36,Staff_Costs[[#All],[Role]],0),MATCH("Per-minute cost",Staff_Costs[#Headers],0))*'Standard of Care'!C36)</f>
        <v>#N/A</v>
      </c>
      <c r="AJ36" s="475" t="e">
        <f>$AI36*COUNTA(tbl_Part_Act5[[#This Row],[Day -x to -y]:[Column27]])</f>
        <v>#N/A</v>
      </c>
      <c r="AK36" s="137" t="e">
        <f>INDEX('Tariff (hidden)'!$B$4:$B$133,MATCH(B36,'Tariff (hidden)'!$A$4:$A$133,0))</f>
        <v>#N/A</v>
      </c>
      <c r="AL36" s="135"/>
      <c r="AM36" s="135"/>
      <c r="AN36" s="124"/>
      <c r="AO36" s="576" t="e">
        <f t="shared" si="0"/>
        <v>#N/A</v>
      </c>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row>
    <row r="37" spans="1:124" s="2" customFormat="1" x14ac:dyDescent="0.25">
      <c r="A37" s="110"/>
      <c r="B37" s="111"/>
      <c r="C37" s="112"/>
      <c r="D37" s="111"/>
      <c r="E37" s="575"/>
      <c r="F37" s="114"/>
      <c r="G37" s="113"/>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MATCH($B37,TARIFF_TABLE[[#All],[Activity]],0),MATCH("Cost",TARIFF_TABLE[#Headers],0)),INDEX(Staff_Costs[#All],MATCH('Standard of Care'!D37,Staff_Costs[[#All],[Role]],0),MATCH("Per-minute cost",Staff_Costs[#Headers],0))*'Standard of Care'!C37)</f>
        <v>#N/A</v>
      </c>
      <c r="AJ37" s="475" t="e">
        <f>$AI37*COUNTA(tbl_Part_Act5[[#This Row],[Day -x to -y]:[Column27]])</f>
        <v>#N/A</v>
      </c>
      <c r="AK37" s="137" t="e">
        <f>INDEX('Tariff (hidden)'!$B$4:$B$133,MATCH(B37,'Tariff (hidden)'!$A$4:$A$133,0))</f>
        <v>#N/A</v>
      </c>
      <c r="AL37" s="135"/>
      <c r="AM37" s="135"/>
      <c r="AN37" s="124"/>
      <c r="AO37" s="576" t="e">
        <f t="shared" si="0"/>
        <v>#N/A</v>
      </c>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row>
    <row r="38" spans="1:124" s="2" customFormat="1" x14ac:dyDescent="0.25">
      <c r="A38" s="110"/>
      <c r="B38" s="111"/>
      <c r="C38" s="112"/>
      <c r="D38" s="111"/>
      <c r="E38" s="575"/>
      <c r="F38" s="114"/>
      <c r="G38" s="113"/>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MATCH($B38,TARIFF_TABLE[[#All],[Activity]],0),MATCH("Cost",TARIFF_TABLE[#Headers],0)),INDEX(Staff_Costs[#All],MATCH('Standard of Care'!D38,Staff_Costs[[#All],[Role]],0),MATCH("Per-minute cost",Staff_Costs[#Headers],0))*'Standard of Care'!C38)</f>
        <v>#N/A</v>
      </c>
      <c r="AJ38" s="475" t="e">
        <f>$AI38*COUNTA(tbl_Part_Act5[[#This Row],[Day -x to -y]:[Column27]])</f>
        <v>#N/A</v>
      </c>
      <c r="AK38" s="137" t="e">
        <f>INDEX('Tariff (hidden)'!$B$4:$B$133,MATCH(B38,'Tariff (hidden)'!$A$4:$A$133,0))</f>
        <v>#N/A</v>
      </c>
      <c r="AL38" s="135"/>
      <c r="AM38" s="135"/>
      <c r="AN38" s="124"/>
      <c r="AO38" s="576" t="e">
        <f t="shared" si="0"/>
        <v>#N/A</v>
      </c>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row>
    <row r="39" spans="1:124" s="2" customFormat="1" x14ac:dyDescent="0.25">
      <c r="A39" s="110"/>
      <c r="B39" s="111"/>
      <c r="C39" s="112"/>
      <c r="D39" s="111"/>
      <c r="E39" s="575"/>
      <c r="F39" s="114"/>
      <c r="G39" s="113"/>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MATCH($B39,TARIFF_TABLE[[#All],[Activity]],0),MATCH("Cost",TARIFF_TABLE[#Headers],0)),INDEX(Staff_Costs[#All],MATCH('Standard of Care'!D39,Staff_Costs[[#All],[Role]],0),MATCH("Per-minute cost",Staff_Costs[#Headers],0))*'Standard of Care'!C39)</f>
        <v>#N/A</v>
      </c>
      <c r="AJ39" s="475" t="e">
        <f>$AI39*COUNTA(tbl_Part_Act5[[#This Row],[Day -x to -y]:[Column27]])</f>
        <v>#N/A</v>
      </c>
      <c r="AK39" s="137" t="e">
        <f>INDEX('Tariff (hidden)'!$B$4:$B$133,MATCH(B39,'Tariff (hidden)'!$A$4:$A$133,0))</f>
        <v>#N/A</v>
      </c>
      <c r="AL39" s="135"/>
      <c r="AM39" s="135"/>
      <c r="AN39" s="124"/>
      <c r="AO39" s="576" t="e">
        <f t="shared" si="0"/>
        <v>#N/A</v>
      </c>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row>
    <row r="40" spans="1:124" s="2" customFormat="1" x14ac:dyDescent="0.25">
      <c r="A40" s="110"/>
      <c r="B40" s="111"/>
      <c r="C40" s="112"/>
      <c r="D40" s="111"/>
      <c r="E40" s="575"/>
      <c r="F40" s="114"/>
      <c r="G40" s="113"/>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MATCH($B40,TARIFF_TABLE[[#All],[Activity]],0),MATCH("Cost",TARIFF_TABLE[#Headers],0)),INDEX(Staff_Costs[#All],MATCH('Standard of Care'!D40,Staff_Costs[[#All],[Role]],0),MATCH("Per-minute cost",Staff_Costs[#Headers],0))*'Standard of Care'!C40)</f>
        <v>#N/A</v>
      </c>
      <c r="AJ40" s="475" t="e">
        <f>$AI40*COUNTA(tbl_Part_Act5[[#This Row],[Day -x to -y]:[Column27]])</f>
        <v>#N/A</v>
      </c>
      <c r="AK40" s="137" t="e">
        <f>INDEX('Tariff (hidden)'!$B$4:$B$133,MATCH(B40,'Tariff (hidden)'!$A$4:$A$133,0))</f>
        <v>#N/A</v>
      </c>
      <c r="AL40" s="135"/>
      <c r="AM40" s="135"/>
      <c r="AN40" s="124"/>
      <c r="AO40" s="576" t="e">
        <f t="shared" si="0"/>
        <v>#N/A</v>
      </c>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row>
    <row r="41" spans="1:124" s="2" customFormat="1" x14ac:dyDescent="0.25">
      <c r="A41" s="110"/>
      <c r="B41" s="111"/>
      <c r="C41" s="112"/>
      <c r="D41" s="111"/>
      <c r="E41" s="575"/>
      <c r="F41" s="114"/>
      <c r="G41" s="113"/>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MATCH($B41,TARIFF_TABLE[[#All],[Activity]],0),MATCH("Cost",TARIFF_TABLE[#Headers],0)),INDEX(Staff_Costs[#All],MATCH('Standard of Care'!D41,Staff_Costs[[#All],[Role]],0),MATCH("Per-minute cost",Staff_Costs[#Headers],0))*'Standard of Care'!C41)</f>
        <v>#N/A</v>
      </c>
      <c r="AJ41" s="475" t="e">
        <f>$AI41*COUNTA(tbl_Part_Act5[[#This Row],[Day -x to -y]:[Column27]])</f>
        <v>#N/A</v>
      </c>
      <c r="AK41" s="137" t="e">
        <f>INDEX('Tariff (hidden)'!$B$4:$B$133,MATCH(B41,'Tariff (hidden)'!$A$4:$A$133,0))</f>
        <v>#N/A</v>
      </c>
      <c r="AL41" s="135"/>
      <c r="AM41" s="135"/>
      <c r="AN41" s="124"/>
      <c r="AO41" s="576" t="e">
        <f t="shared" si="0"/>
        <v>#N/A</v>
      </c>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row>
    <row r="42" spans="1:124" s="2" customFormat="1" x14ac:dyDescent="0.25">
      <c r="A42" s="110"/>
      <c r="B42" s="111"/>
      <c r="C42" s="112"/>
      <c r="D42" s="111"/>
      <c r="E42" s="575"/>
      <c r="F42" s="114"/>
      <c r="G42" s="113"/>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MATCH($B42,TARIFF_TABLE[[#All],[Activity]],0),MATCH("Cost",TARIFF_TABLE[#Headers],0)),INDEX(Staff_Costs[#All],MATCH('Standard of Care'!D42,Staff_Costs[[#All],[Role]],0),MATCH("Per-minute cost",Staff_Costs[#Headers],0))*'Standard of Care'!C42)</f>
        <v>#N/A</v>
      </c>
      <c r="AJ42" s="475" t="e">
        <f>$AI42*COUNTA(tbl_Part_Act5[[#This Row],[Day -x to -y]:[Column27]])</f>
        <v>#N/A</v>
      </c>
      <c r="AK42" s="137" t="e">
        <f>INDEX('Tariff (hidden)'!$B$4:$B$133,MATCH(B42,'Tariff (hidden)'!$A$4:$A$133,0))</f>
        <v>#N/A</v>
      </c>
      <c r="AL42" s="135"/>
      <c r="AM42" s="135"/>
      <c r="AN42" s="124"/>
      <c r="AO42" s="576" t="e">
        <f t="shared" si="0"/>
        <v>#N/A</v>
      </c>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row>
    <row r="43" spans="1:124" s="2" customFormat="1" x14ac:dyDescent="0.25">
      <c r="A43" s="110"/>
      <c r="B43" s="111"/>
      <c r="C43" s="112"/>
      <c r="D43" s="111"/>
      <c r="E43" s="575"/>
      <c r="F43" s="114"/>
      <c r="G43" s="113"/>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MATCH($B43,TARIFF_TABLE[[#All],[Activity]],0),MATCH("Cost",TARIFF_TABLE[#Headers],0)),INDEX(Staff_Costs[#All],MATCH('Standard of Care'!D43,Staff_Costs[[#All],[Role]],0),MATCH("Per-minute cost",Staff_Costs[#Headers],0))*'Standard of Care'!C43)</f>
        <v>#N/A</v>
      </c>
      <c r="AJ43" s="475" t="e">
        <f>$AI43*COUNTA(tbl_Part_Act5[[#This Row],[Day -x to -y]:[Column27]])</f>
        <v>#N/A</v>
      </c>
      <c r="AK43" s="137" t="e">
        <f>INDEX('Tariff (hidden)'!$B$4:$B$133,MATCH(B43,'Tariff (hidden)'!$A$4:$A$133,0))</f>
        <v>#N/A</v>
      </c>
      <c r="AL43" s="135"/>
      <c r="AM43" s="135"/>
      <c r="AN43" s="124"/>
      <c r="AO43" s="576" t="e">
        <f t="shared" si="0"/>
        <v>#N/A</v>
      </c>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row>
    <row r="44" spans="1:124" s="2" customFormat="1" x14ac:dyDescent="0.25">
      <c r="A44" s="110"/>
      <c r="B44" s="111"/>
      <c r="C44" s="112"/>
      <c r="D44" s="111"/>
      <c r="E44" s="575"/>
      <c r="F44" s="114"/>
      <c r="G44" s="113"/>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MATCH($B44,TARIFF_TABLE[[#All],[Activity]],0),MATCH("Cost",TARIFF_TABLE[#Headers],0)),INDEX(Staff_Costs[#All],MATCH('Standard of Care'!D44,Staff_Costs[[#All],[Role]],0),MATCH("Per-minute cost",Staff_Costs[#Headers],0))*'Standard of Care'!C44)</f>
        <v>#N/A</v>
      </c>
      <c r="AJ44" s="475" t="e">
        <f>$AI44*COUNTA(tbl_Part_Act5[[#This Row],[Day -x to -y]:[Column27]])</f>
        <v>#N/A</v>
      </c>
      <c r="AK44" s="137" t="e">
        <f>INDEX('Tariff (hidden)'!$B$4:$B$133,MATCH(B44,'Tariff (hidden)'!$A$4:$A$133,0))</f>
        <v>#N/A</v>
      </c>
      <c r="AL44" s="135"/>
      <c r="AM44" s="135"/>
      <c r="AN44" s="124"/>
      <c r="AO44" s="576" t="e">
        <f t="shared" si="0"/>
        <v>#N/A</v>
      </c>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row>
    <row r="45" spans="1:124" s="2" customFormat="1" x14ac:dyDescent="0.25">
      <c r="A45" s="110"/>
      <c r="B45" s="111"/>
      <c r="C45" s="112"/>
      <c r="D45" s="111"/>
      <c r="E45" s="575"/>
      <c r="F45" s="114"/>
      <c r="G45" s="113"/>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MATCH($B45,TARIFF_TABLE[[#All],[Activity]],0),MATCH("Cost",TARIFF_TABLE[#Headers],0)),INDEX(Staff_Costs[#All],MATCH('Standard of Care'!D45,Staff_Costs[[#All],[Role]],0),MATCH("Per-minute cost",Staff_Costs[#Headers],0))*'Standard of Care'!C45)</f>
        <v>#N/A</v>
      </c>
      <c r="AJ45" s="475" t="e">
        <f>$AI45*COUNTA(tbl_Part_Act5[[#This Row],[Day -x to -y]:[Column27]])</f>
        <v>#N/A</v>
      </c>
      <c r="AK45" s="137" t="e">
        <f>INDEX('Tariff (hidden)'!$B$4:$B$133,MATCH(B45,'Tariff (hidden)'!$A$4:$A$133,0))</f>
        <v>#N/A</v>
      </c>
      <c r="AL45" s="135"/>
      <c r="AM45" s="135"/>
      <c r="AN45" s="124"/>
      <c r="AO45" s="576" t="e">
        <f t="shared" si="0"/>
        <v>#N/A</v>
      </c>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row>
    <row r="46" spans="1:124" s="2" customFormat="1" x14ac:dyDescent="0.25">
      <c r="A46" s="110"/>
      <c r="B46" s="111"/>
      <c r="C46" s="112"/>
      <c r="D46" s="111"/>
      <c r="E46" s="575"/>
      <c r="F46" s="114"/>
      <c r="G46" s="113"/>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MATCH($B46,TARIFF_TABLE[[#All],[Activity]],0),MATCH("Cost",TARIFF_TABLE[#Headers],0)),INDEX(Staff_Costs[#All],MATCH('Standard of Care'!D46,Staff_Costs[[#All],[Role]],0),MATCH("Per-minute cost",Staff_Costs[#Headers],0))*'Standard of Care'!C46)</f>
        <v>#N/A</v>
      </c>
      <c r="AJ46" s="475" t="e">
        <f>$AI46*COUNTA(tbl_Part_Act5[[#This Row],[Day -x to -y]:[Column27]])</f>
        <v>#N/A</v>
      </c>
      <c r="AK46" s="137" t="e">
        <f>INDEX('Tariff (hidden)'!$B$4:$B$133,MATCH(B46,'Tariff (hidden)'!$A$4:$A$133,0))</f>
        <v>#N/A</v>
      </c>
      <c r="AL46" s="135"/>
      <c r="AM46" s="135"/>
      <c r="AN46" s="124"/>
      <c r="AO46" s="576" t="e">
        <f t="shared" si="0"/>
        <v>#N/A</v>
      </c>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row>
    <row r="47" spans="1:124" s="2" customFormat="1" x14ac:dyDescent="0.25">
      <c r="A47" s="110"/>
      <c r="B47" s="111"/>
      <c r="C47" s="112"/>
      <c r="D47" s="111"/>
      <c r="E47" s="575"/>
      <c r="F47" s="114"/>
      <c r="G47" s="113"/>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MATCH($B47,TARIFF_TABLE[[#All],[Activity]],0),MATCH("Cost",TARIFF_TABLE[#Headers],0)),INDEX(Staff_Costs[#All],MATCH('Standard of Care'!D47,Staff_Costs[[#All],[Role]],0),MATCH("Per-minute cost",Staff_Costs[#Headers],0))*'Standard of Care'!C47)</f>
        <v>#N/A</v>
      </c>
      <c r="AJ47" s="475" t="e">
        <f>$AI47*COUNTA(tbl_Part_Act5[[#This Row],[Day -x to -y]:[Column27]])</f>
        <v>#N/A</v>
      </c>
      <c r="AK47" s="137" t="e">
        <f>INDEX('Tariff (hidden)'!$B$4:$B$133,MATCH(B47,'Tariff (hidden)'!$A$4:$A$133,0))</f>
        <v>#N/A</v>
      </c>
      <c r="AL47" s="135"/>
      <c r="AM47" s="135"/>
      <c r="AN47" s="124"/>
      <c r="AO47" s="576" t="e">
        <f t="shared" si="0"/>
        <v>#N/A</v>
      </c>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row>
    <row r="48" spans="1:124" s="2" customFormat="1" x14ac:dyDescent="0.25">
      <c r="A48" s="110"/>
      <c r="B48" s="111"/>
      <c r="C48" s="112"/>
      <c r="D48" s="111"/>
      <c r="E48" s="575"/>
      <c r="F48" s="114"/>
      <c r="G48" s="113"/>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MATCH($B48,TARIFF_TABLE[[#All],[Activity]],0),MATCH("Cost",TARIFF_TABLE[#Headers],0)),INDEX(Staff_Costs[#All],MATCH('Standard of Care'!D48,Staff_Costs[[#All],[Role]],0),MATCH("Per-minute cost",Staff_Costs[#Headers],0))*'Standard of Care'!C48)</f>
        <v>#N/A</v>
      </c>
      <c r="AJ48" s="475" t="e">
        <f>$AI48*COUNTA(tbl_Part_Act5[[#This Row],[Day -x to -y]:[Column27]])</f>
        <v>#N/A</v>
      </c>
      <c r="AK48" s="137" t="e">
        <f>INDEX('Tariff (hidden)'!$B$4:$B$133,MATCH(B48,'Tariff (hidden)'!$A$4:$A$133,0))</f>
        <v>#N/A</v>
      </c>
      <c r="AL48" s="135"/>
      <c r="AM48" s="135"/>
      <c r="AN48" s="124"/>
      <c r="AO48" s="576" t="e">
        <f t="shared" si="0"/>
        <v>#N/A</v>
      </c>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row>
    <row r="49" spans="1:124" s="2" customFormat="1" x14ac:dyDescent="0.25">
      <c r="A49" s="110"/>
      <c r="B49" s="111"/>
      <c r="C49" s="112"/>
      <c r="D49" s="111"/>
      <c r="E49" s="575"/>
      <c r="F49" s="114"/>
      <c r="G49" s="113"/>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MATCH($B49,TARIFF_TABLE[[#All],[Activity]],0),MATCH("Cost",TARIFF_TABLE[#Headers],0)),INDEX(Staff_Costs[#All],MATCH('Standard of Care'!D49,Staff_Costs[[#All],[Role]],0),MATCH("Per-minute cost",Staff_Costs[#Headers],0))*'Standard of Care'!C49)</f>
        <v>#N/A</v>
      </c>
      <c r="AJ49" s="475" t="e">
        <f>$AI49*COUNTA(tbl_Part_Act5[[#This Row],[Day -x to -y]:[Column27]])</f>
        <v>#N/A</v>
      </c>
      <c r="AK49" s="137" t="e">
        <f>INDEX('Tariff (hidden)'!$B$4:$B$133,MATCH(B49,'Tariff (hidden)'!$A$4:$A$133,0))</f>
        <v>#N/A</v>
      </c>
      <c r="AL49" s="135"/>
      <c r="AM49" s="135"/>
      <c r="AN49" s="124"/>
      <c r="AO49" s="576" t="e">
        <f t="shared" si="0"/>
        <v>#N/A</v>
      </c>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row>
    <row r="50" spans="1:124" s="2" customFormat="1" x14ac:dyDescent="0.25">
      <c r="A50" s="110"/>
      <c r="B50" s="111"/>
      <c r="C50" s="112"/>
      <c r="D50" s="111"/>
      <c r="E50" s="575"/>
      <c r="F50" s="114"/>
      <c r="G50" s="113"/>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MATCH($B50,TARIFF_TABLE[[#All],[Activity]],0),MATCH("Cost",TARIFF_TABLE[#Headers],0)),INDEX(Staff_Costs[#All],MATCH('Standard of Care'!D50,Staff_Costs[[#All],[Role]],0),MATCH("Per-minute cost",Staff_Costs[#Headers],0))*'Standard of Care'!C50)</f>
        <v>#N/A</v>
      </c>
      <c r="AJ50" s="475" t="e">
        <f>$AI50*COUNTA(tbl_Part_Act5[[#This Row],[Day -x to -y]:[Column27]])</f>
        <v>#N/A</v>
      </c>
      <c r="AK50" s="137" t="e">
        <f>INDEX('Tariff (hidden)'!$B$4:$B$133,MATCH(B50,'Tariff (hidden)'!$A$4:$A$133,0))</f>
        <v>#N/A</v>
      </c>
      <c r="AL50" s="135"/>
      <c r="AM50" s="135"/>
      <c r="AN50" s="124"/>
      <c r="AO50" s="576" t="e">
        <f t="shared" si="0"/>
        <v>#N/A</v>
      </c>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row>
    <row r="51" spans="1:124" s="2" customFormat="1" x14ac:dyDescent="0.25">
      <c r="A51" s="110"/>
      <c r="B51" s="111"/>
      <c r="C51" s="112"/>
      <c r="D51" s="111"/>
      <c r="E51" s="575"/>
      <c r="F51" s="114"/>
      <c r="G51" s="113"/>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MATCH($B51,TARIFF_TABLE[[#All],[Activity]],0),MATCH("Cost",TARIFF_TABLE[#Headers],0)),INDEX(Staff_Costs[#All],MATCH('Standard of Care'!D51,Staff_Costs[[#All],[Role]],0),MATCH("Per-minute cost",Staff_Costs[#Headers],0))*'Standard of Care'!C51)</f>
        <v>#N/A</v>
      </c>
      <c r="AJ51" s="475" t="e">
        <f>$AI51*COUNTA(tbl_Part_Act5[[#This Row],[Day -x to -y]:[Column27]])</f>
        <v>#N/A</v>
      </c>
      <c r="AK51" s="137" t="e">
        <f>INDEX('Tariff (hidden)'!$B$4:$B$133,MATCH(B51,'Tariff (hidden)'!$A$4:$A$133,0))</f>
        <v>#N/A</v>
      </c>
      <c r="AL51" s="135"/>
      <c r="AM51" s="135"/>
      <c r="AN51" s="124"/>
      <c r="AO51" s="576" t="e">
        <f t="shared" si="0"/>
        <v>#N/A</v>
      </c>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row>
    <row r="52" spans="1:124" s="2" customFormat="1" x14ac:dyDescent="0.25">
      <c r="A52" s="110"/>
      <c r="B52" s="111"/>
      <c r="C52" s="112"/>
      <c r="D52" s="111"/>
      <c r="E52" s="575"/>
      <c r="F52" s="114"/>
      <c r="G52" s="113"/>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MATCH($B52,TARIFF_TABLE[[#All],[Activity]],0),MATCH("Cost",TARIFF_TABLE[#Headers],0)),INDEX(Staff_Costs[#All],MATCH('Standard of Care'!D52,Staff_Costs[[#All],[Role]],0),MATCH("Per-minute cost",Staff_Costs[#Headers],0))*'Standard of Care'!C52)</f>
        <v>#N/A</v>
      </c>
      <c r="AJ52" s="475" t="e">
        <f>$AI52*COUNTA(tbl_Part_Act5[[#This Row],[Day -x to -y]:[Column27]])</f>
        <v>#N/A</v>
      </c>
      <c r="AK52" s="137" t="e">
        <f>INDEX('Tariff (hidden)'!$B$4:$B$133,MATCH(B52,'Tariff (hidden)'!$A$4:$A$133,0))</f>
        <v>#N/A</v>
      </c>
      <c r="AL52" s="135"/>
      <c r="AM52" s="135"/>
      <c r="AN52" s="124"/>
      <c r="AO52" s="576" t="e">
        <f t="shared" si="0"/>
        <v>#N/A</v>
      </c>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row>
    <row r="53" spans="1:124" s="2" customFormat="1" x14ac:dyDescent="0.25">
      <c r="A53" s="110"/>
      <c r="B53" s="111"/>
      <c r="C53" s="112"/>
      <c r="D53" s="111"/>
      <c r="E53" s="575"/>
      <c r="F53" s="114"/>
      <c r="G53" s="113"/>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MATCH($B53,TARIFF_TABLE[[#All],[Activity]],0),MATCH("Cost",TARIFF_TABLE[#Headers],0)),INDEX(Staff_Costs[#All],MATCH('Standard of Care'!D53,Staff_Costs[[#All],[Role]],0),MATCH("Per-minute cost",Staff_Costs[#Headers],0))*'Standard of Care'!C53)</f>
        <v>#N/A</v>
      </c>
      <c r="AJ53" s="475" t="e">
        <f>$AI53*COUNTA(tbl_Part_Act5[[#This Row],[Day -x to -y]:[Column27]])</f>
        <v>#N/A</v>
      </c>
      <c r="AK53" s="137" t="e">
        <f>INDEX('Tariff (hidden)'!$B$4:$B$133,MATCH(B53,'Tariff (hidden)'!$A$4:$A$133,0))</f>
        <v>#N/A</v>
      </c>
      <c r="AL53" s="135"/>
      <c r="AM53" s="135"/>
      <c r="AN53" s="124"/>
      <c r="AO53" s="576" t="e">
        <f t="shared" si="0"/>
        <v>#N/A</v>
      </c>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row>
    <row r="54" spans="1:124" s="2" customFormat="1" x14ac:dyDescent="0.25">
      <c r="A54" s="110"/>
      <c r="B54" s="111"/>
      <c r="C54" s="112"/>
      <c r="D54" s="111"/>
      <c r="E54" s="575"/>
      <c r="F54" s="114"/>
      <c r="G54" s="113"/>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MATCH($B54,TARIFF_TABLE[[#All],[Activity]],0),MATCH("Cost",TARIFF_TABLE[#Headers],0)),INDEX(Staff_Costs[#All],MATCH('Standard of Care'!D54,Staff_Costs[[#All],[Role]],0),MATCH("Per-minute cost",Staff_Costs[#Headers],0))*'Standard of Care'!C54)</f>
        <v>#N/A</v>
      </c>
      <c r="AJ54" s="475" t="e">
        <f>$AI54*COUNTA(tbl_Part_Act5[[#This Row],[Day -x to -y]:[Column27]])</f>
        <v>#N/A</v>
      </c>
      <c r="AK54" s="137" t="e">
        <f>INDEX('Tariff (hidden)'!$B$4:$B$133,MATCH(B54,'Tariff (hidden)'!$A$4:$A$133,0))</f>
        <v>#N/A</v>
      </c>
      <c r="AL54" s="135"/>
      <c r="AM54" s="135"/>
      <c r="AN54" s="124"/>
      <c r="AO54" s="576" t="e">
        <f t="shared" si="0"/>
        <v>#N/A</v>
      </c>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row>
    <row r="55" spans="1:124" s="2" customFormat="1" x14ac:dyDescent="0.25">
      <c r="A55" s="110"/>
      <c r="B55" s="111"/>
      <c r="C55" s="112"/>
      <c r="D55" s="111"/>
      <c r="E55" s="575"/>
      <c r="F55" s="114"/>
      <c r="G55" s="113"/>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MATCH($B55,TARIFF_TABLE[[#All],[Activity]],0),MATCH("Cost",TARIFF_TABLE[#Headers],0)),INDEX(Staff_Costs[#All],MATCH('Standard of Care'!D55,Staff_Costs[[#All],[Role]],0),MATCH("Per-minute cost",Staff_Costs[#Headers],0))*'Standard of Care'!C55)</f>
        <v>#N/A</v>
      </c>
      <c r="AJ55" s="475" t="e">
        <f>$AI55*COUNTA(tbl_Part_Act5[[#This Row],[Day -x to -y]:[Column27]])</f>
        <v>#N/A</v>
      </c>
      <c r="AK55" s="137" t="e">
        <f>INDEX('Tariff (hidden)'!$B$4:$B$133,MATCH(B55,'Tariff (hidden)'!$A$4:$A$133,0))</f>
        <v>#N/A</v>
      </c>
      <c r="AL55" s="135"/>
      <c r="AM55" s="135"/>
      <c r="AN55" s="124"/>
      <c r="AO55" s="576" t="e">
        <f t="shared" si="0"/>
        <v>#N/A</v>
      </c>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row>
    <row r="56" spans="1:124" s="2" customFormat="1" x14ac:dyDescent="0.25">
      <c r="A56" s="110"/>
      <c r="B56" s="111"/>
      <c r="C56" s="112"/>
      <c r="D56" s="111"/>
      <c r="E56" s="575"/>
      <c r="F56" s="114"/>
      <c r="G56" s="113"/>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MATCH($B56,TARIFF_TABLE[[#All],[Activity]],0),MATCH("Cost",TARIFF_TABLE[#Headers],0)),INDEX(Staff_Costs[#All],MATCH('Standard of Care'!D56,Staff_Costs[[#All],[Role]],0),MATCH("Per-minute cost",Staff_Costs[#Headers],0))*'Standard of Care'!C56)</f>
        <v>#N/A</v>
      </c>
      <c r="AJ56" s="475" t="e">
        <f>$AI56*COUNTA(tbl_Part_Act5[[#This Row],[Day -x to -y]:[Column27]])</f>
        <v>#N/A</v>
      </c>
      <c r="AK56" s="137" t="e">
        <f>INDEX('Tariff (hidden)'!$B$4:$B$133,MATCH(B56,'Tariff (hidden)'!$A$4:$A$133,0))</f>
        <v>#N/A</v>
      </c>
      <c r="AL56" s="135"/>
      <c r="AM56" s="135"/>
      <c r="AN56" s="124"/>
      <c r="AO56" s="576" t="e">
        <f t="shared" si="0"/>
        <v>#N/A</v>
      </c>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row>
    <row r="57" spans="1:124" s="2" customFormat="1" x14ac:dyDescent="0.25">
      <c r="A57" s="110"/>
      <c r="B57" s="111"/>
      <c r="C57" s="112"/>
      <c r="D57" s="111"/>
      <c r="E57" s="575"/>
      <c r="F57" s="114"/>
      <c r="G57" s="113"/>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MATCH($B57,TARIFF_TABLE[[#All],[Activity]],0),MATCH("Cost",TARIFF_TABLE[#Headers],0)),INDEX(Staff_Costs[#All],MATCH('Standard of Care'!D57,Staff_Costs[[#All],[Role]],0),MATCH("Per-minute cost",Staff_Costs[#Headers],0))*'Standard of Care'!C57)</f>
        <v>#N/A</v>
      </c>
      <c r="AJ57" s="475" t="e">
        <f>$AI57*COUNTA(tbl_Part_Act5[[#This Row],[Day -x to -y]:[Column27]])</f>
        <v>#N/A</v>
      </c>
      <c r="AK57" s="137" t="e">
        <f>INDEX('Tariff (hidden)'!$B$4:$B$133,MATCH(B57,'Tariff (hidden)'!$A$4:$A$133,0))</f>
        <v>#N/A</v>
      </c>
      <c r="AL57" s="135"/>
      <c r="AM57" s="135"/>
      <c r="AN57" s="124"/>
      <c r="AO57" s="576" t="e">
        <f t="shared" si="0"/>
        <v>#N/A</v>
      </c>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row>
    <row r="58" spans="1:124" s="2" customFormat="1" x14ac:dyDescent="0.25">
      <c r="A58" s="110"/>
      <c r="B58" s="111"/>
      <c r="C58" s="112"/>
      <c r="D58" s="111"/>
      <c r="E58" s="575"/>
      <c r="F58" s="114"/>
      <c r="G58" s="113"/>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MATCH($B58,TARIFF_TABLE[[#All],[Activity]],0),MATCH("Cost",TARIFF_TABLE[#Headers],0)),INDEX(Staff_Costs[#All],MATCH('Standard of Care'!D58,Staff_Costs[[#All],[Role]],0),MATCH("Per-minute cost",Staff_Costs[#Headers],0))*'Standard of Care'!C58)</f>
        <v>#N/A</v>
      </c>
      <c r="AJ58" s="475" t="e">
        <f>$AI58*COUNTA(tbl_Part_Act5[[#This Row],[Day -x to -y]:[Column27]])</f>
        <v>#N/A</v>
      </c>
      <c r="AK58" s="137" t="e">
        <f>INDEX('Tariff (hidden)'!$B$4:$B$133,MATCH(B58,'Tariff (hidden)'!$A$4:$A$133,0))</f>
        <v>#N/A</v>
      </c>
      <c r="AL58" s="135"/>
      <c r="AM58" s="135"/>
      <c r="AN58" s="124"/>
      <c r="AO58" s="576" t="e">
        <f t="shared" si="0"/>
        <v>#N/A</v>
      </c>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row>
    <row r="59" spans="1:124" s="2" customFormat="1" x14ac:dyDescent="0.25">
      <c r="A59" s="110"/>
      <c r="B59" s="111"/>
      <c r="C59" s="112"/>
      <c r="D59" s="111"/>
      <c r="E59" s="575"/>
      <c r="F59" s="114"/>
      <c r="G59" s="113"/>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MATCH($B59,TARIFF_TABLE[[#All],[Activity]],0),MATCH("Cost",TARIFF_TABLE[#Headers],0)),INDEX(Staff_Costs[#All],MATCH('Standard of Care'!D59,Staff_Costs[[#All],[Role]],0),MATCH("Per-minute cost",Staff_Costs[#Headers],0))*'Standard of Care'!C59)</f>
        <v>#N/A</v>
      </c>
      <c r="AJ59" s="475" t="e">
        <f>$AI59*COUNTA(tbl_Part_Act5[[#This Row],[Day -x to -y]:[Column27]])</f>
        <v>#N/A</v>
      </c>
      <c r="AK59" s="137" t="e">
        <f>INDEX('Tariff (hidden)'!$B$4:$B$133,MATCH(B59,'Tariff (hidden)'!$A$4:$A$133,0))</f>
        <v>#N/A</v>
      </c>
      <c r="AL59" s="135"/>
      <c r="AM59" s="135"/>
      <c r="AN59" s="124"/>
      <c r="AO59" s="576" t="e">
        <f t="shared" si="0"/>
        <v>#N/A</v>
      </c>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row>
    <row r="60" spans="1:124" s="2" customFormat="1" x14ac:dyDescent="0.25">
      <c r="A60" s="110"/>
      <c r="B60" s="111"/>
      <c r="C60" s="112"/>
      <c r="D60" s="111"/>
      <c r="E60" s="575"/>
      <c r="F60" s="114"/>
      <c r="G60" s="113"/>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MATCH($B60,TARIFF_TABLE[[#All],[Activity]],0),MATCH("Cost",TARIFF_TABLE[#Headers],0)),INDEX(Staff_Costs[#All],MATCH('Standard of Care'!D60,Staff_Costs[[#All],[Role]],0),MATCH("Per-minute cost",Staff_Costs[#Headers],0))*'Standard of Care'!C60)</f>
        <v>#N/A</v>
      </c>
      <c r="AJ60" s="475" t="e">
        <f>$AI60*COUNTA(tbl_Part_Act5[[#This Row],[Day -x to -y]:[Column27]])</f>
        <v>#N/A</v>
      </c>
      <c r="AK60" s="137" t="e">
        <f>INDEX('Tariff (hidden)'!$B$4:$B$133,MATCH(B60,'Tariff (hidden)'!$A$4:$A$133,0))</f>
        <v>#N/A</v>
      </c>
      <c r="AL60" s="135"/>
      <c r="AM60" s="135"/>
      <c r="AN60" s="124"/>
      <c r="AO60" s="576" t="e">
        <f t="shared" si="0"/>
        <v>#N/A</v>
      </c>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row>
    <row r="61" spans="1:124" s="2" customFormat="1" x14ac:dyDescent="0.25">
      <c r="A61" s="110"/>
      <c r="B61" s="111"/>
      <c r="C61" s="112"/>
      <c r="D61" s="111"/>
      <c r="E61" s="575"/>
      <c r="F61" s="114"/>
      <c r="G61" s="1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MATCH($B61,TARIFF_TABLE[[#All],[Activity]],0),MATCH("Cost",TARIFF_TABLE[#Headers],0)),INDEX(Staff_Costs[#All],MATCH('Standard of Care'!D61,Staff_Costs[[#All],[Role]],0),MATCH("Per-minute cost",Staff_Costs[#Headers],0))*'Standard of Care'!C61)</f>
        <v>#N/A</v>
      </c>
      <c r="AJ61" s="475" t="e">
        <f>$AI61*COUNTA(tbl_Part_Act5[[#This Row],[Day -x to -y]:[Column27]])</f>
        <v>#N/A</v>
      </c>
      <c r="AK61" s="137" t="e">
        <f>INDEX('Tariff (hidden)'!$B$4:$B$133,MATCH(B61,'Tariff (hidden)'!$A$4:$A$133,0))</f>
        <v>#N/A</v>
      </c>
      <c r="AL61" s="135"/>
      <c r="AM61" s="135"/>
      <c r="AN61" s="124"/>
      <c r="AO61" s="576" t="e">
        <f t="shared" si="0"/>
        <v>#N/A</v>
      </c>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row>
    <row r="62" spans="1:124" s="2" customFormat="1" x14ac:dyDescent="0.25">
      <c r="A62" s="110"/>
      <c r="B62" s="111"/>
      <c r="C62" s="112"/>
      <c r="D62" s="111"/>
      <c r="E62" s="575"/>
      <c r="F62" s="114"/>
      <c r="G62" s="113"/>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MATCH($B62,TARIFF_TABLE[[#All],[Activity]],0),MATCH("Cost",TARIFF_TABLE[#Headers],0)),INDEX(Staff_Costs[#All],MATCH('Standard of Care'!D62,Staff_Costs[[#All],[Role]],0),MATCH("Per-minute cost",Staff_Costs[#Headers],0))*'Standard of Care'!C62)</f>
        <v>#N/A</v>
      </c>
      <c r="AJ62" s="475" t="e">
        <f>$AI62*COUNTA(tbl_Part_Act5[[#This Row],[Day -x to -y]:[Column27]])</f>
        <v>#N/A</v>
      </c>
      <c r="AK62" s="137" t="e">
        <f>INDEX('Tariff (hidden)'!$B$4:$B$133,MATCH(B62,'Tariff (hidden)'!$A$4:$A$133,0))</f>
        <v>#N/A</v>
      </c>
      <c r="AL62" s="135"/>
      <c r="AM62" s="135"/>
      <c r="AN62" s="124"/>
      <c r="AO62" s="576" t="e">
        <f t="shared" si="0"/>
        <v>#N/A</v>
      </c>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row>
    <row r="63" spans="1:124" s="2" customFormat="1" x14ac:dyDescent="0.25">
      <c r="A63" s="110"/>
      <c r="B63" s="111"/>
      <c r="C63" s="112"/>
      <c r="D63" s="111"/>
      <c r="E63" s="575"/>
      <c r="F63" s="114"/>
      <c r="G63" s="113"/>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MATCH($B63,TARIFF_TABLE[[#All],[Activity]],0),MATCH("Cost",TARIFF_TABLE[#Headers],0)),INDEX(Staff_Costs[#All],MATCH('Standard of Care'!D63,Staff_Costs[[#All],[Role]],0),MATCH("Per-minute cost",Staff_Costs[#Headers],0))*'Standard of Care'!C63)</f>
        <v>#N/A</v>
      </c>
      <c r="AJ63" s="475" t="e">
        <f>$AI63*COUNTA(tbl_Part_Act5[[#This Row],[Day -x to -y]:[Column27]])</f>
        <v>#N/A</v>
      </c>
      <c r="AK63" s="137" t="e">
        <f>INDEX('Tariff (hidden)'!$B$4:$B$133,MATCH(B63,'Tariff (hidden)'!$A$4:$A$133,0))</f>
        <v>#N/A</v>
      </c>
      <c r="AL63" s="135"/>
      <c r="AM63" s="135"/>
      <c r="AN63" s="124"/>
      <c r="AO63" s="576" t="e">
        <f t="shared" si="0"/>
        <v>#N/A</v>
      </c>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row>
    <row r="64" spans="1:124" s="2" customFormat="1" x14ac:dyDescent="0.25">
      <c r="A64" s="110"/>
      <c r="B64" s="111"/>
      <c r="C64" s="112"/>
      <c r="D64" s="111"/>
      <c r="E64" s="575"/>
      <c r="F64" s="114"/>
      <c r="G64" s="113"/>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5"/>
      <c r="AI64" s="116" t="e">
        <f>IF(INDEX(TARIFF_TABLE[#All], MATCH($B64,TARIFF_TABLE[[#All],[Activity]],0),MATCH("ActivityType",TARIFF_TABLE[#Headers]))="Investigation",INDEX(TARIFF_TABLE[#All], MATCH($B64,TARIFF_TABLE[[#All],[Activity]],0),MATCH("Cost",TARIFF_TABLE[#Headers],0)),INDEX(Staff_Costs[#All],MATCH('Standard of Care'!D64,Staff_Costs[[#All],[Role]],0),MATCH("Per-minute cost",Staff_Costs[#Headers],0))*'Standard of Care'!C64)</f>
        <v>#N/A</v>
      </c>
      <c r="AJ64" s="475" t="e">
        <f>$AI64*COUNTA(tbl_Part_Act5[[#This Row],[Day -x to -y]:[Column27]])</f>
        <v>#N/A</v>
      </c>
      <c r="AK64" s="137" t="e">
        <f>INDEX('Tariff (hidden)'!$B$4:$B$133,MATCH(B64,'Tariff (hidden)'!$A$4:$A$133,0))</f>
        <v>#N/A</v>
      </c>
      <c r="AL64" s="135"/>
      <c r="AM64" s="135"/>
      <c r="AN64" s="124"/>
      <c r="AO64" s="576" t="e">
        <f t="shared" si="0"/>
        <v>#N/A</v>
      </c>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row>
    <row r="65" spans="1:124" s="2" customFormat="1" x14ac:dyDescent="0.25">
      <c r="A65" s="110"/>
      <c r="B65" s="111"/>
      <c r="C65" s="112"/>
      <c r="D65" s="111"/>
      <c r="E65" s="575"/>
      <c r="F65" s="114"/>
      <c r="G65" s="113"/>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5"/>
      <c r="AI65" s="116" t="e">
        <f>IF(INDEX(TARIFF_TABLE[#All], MATCH($B65,TARIFF_TABLE[[#All],[Activity]],0),MATCH("ActivityType",TARIFF_TABLE[#Headers]))="Investigation",INDEX(TARIFF_TABLE[#All], MATCH($B65,TARIFF_TABLE[[#All],[Activity]],0),MATCH("Cost",TARIFF_TABLE[#Headers],0)),INDEX(Staff_Costs[#All],MATCH('Standard of Care'!D65,Staff_Costs[[#All],[Role]],0),MATCH("Per-minute cost",Staff_Costs[#Headers],0))*'Standard of Care'!C65)</f>
        <v>#N/A</v>
      </c>
      <c r="AJ65" s="475" t="e">
        <f>$AI65*COUNTA(tbl_Part_Act5[[#This Row],[Day -x to -y]:[Column27]])</f>
        <v>#N/A</v>
      </c>
      <c r="AK65" s="137" t="e">
        <f>INDEX('Tariff (hidden)'!$B$4:$B$133,MATCH(B65,'Tariff (hidden)'!$A$4:$A$133,0))</f>
        <v>#N/A</v>
      </c>
      <c r="AL65" s="135"/>
      <c r="AM65" s="135"/>
      <c r="AN65" s="124"/>
      <c r="AO65" s="576" t="e">
        <f t="shared" si="0"/>
        <v>#N/A</v>
      </c>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row>
    <row r="66" spans="1:124" s="2" customFormat="1" x14ac:dyDescent="0.25">
      <c r="A66" s="110"/>
      <c r="B66" s="111"/>
      <c r="C66" s="112"/>
      <c r="D66" s="111"/>
      <c r="E66" s="575"/>
      <c r="F66" s="114"/>
      <c r="G66" s="113"/>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5"/>
      <c r="AI66" s="116" t="e">
        <f>IF(INDEX(TARIFF_TABLE[#All], MATCH($B66,TARIFF_TABLE[[#All],[Activity]],0),MATCH("ActivityType",TARIFF_TABLE[#Headers]))="Investigation",INDEX(TARIFF_TABLE[#All], MATCH($B66,TARIFF_TABLE[[#All],[Activity]],0),MATCH("Cost",TARIFF_TABLE[#Headers],0)),INDEX(Staff_Costs[#All],MATCH('Standard of Care'!D66,Staff_Costs[[#All],[Role]],0),MATCH("Per-minute cost",Staff_Costs[#Headers],0))*'Standard of Care'!C66)</f>
        <v>#N/A</v>
      </c>
      <c r="AJ66" s="475" t="e">
        <f>$AI66*COUNTA(tbl_Part_Act5[[#This Row],[Day -x to -y]:[Column27]])</f>
        <v>#N/A</v>
      </c>
      <c r="AK66" s="137" t="e">
        <f>INDEX('Tariff (hidden)'!$B$4:$B$133,MATCH(B66,'Tariff (hidden)'!$A$4:$A$133,0))</f>
        <v>#N/A</v>
      </c>
      <c r="AL66" s="135"/>
      <c r="AM66" s="135"/>
      <c r="AN66" s="124"/>
      <c r="AO66" s="576" t="e">
        <f t="shared" si="0"/>
        <v>#N/A</v>
      </c>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row>
    <row r="67" spans="1:124" s="2" customFormat="1" x14ac:dyDescent="0.25">
      <c r="A67" s="110"/>
      <c r="B67" s="111"/>
      <c r="C67" s="112"/>
      <c r="D67" s="111"/>
      <c r="E67" s="575"/>
      <c r="F67" s="114"/>
      <c r="G67" s="113"/>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5"/>
      <c r="AI67" s="116" t="e">
        <f>IF(INDEX(TARIFF_TABLE[#All], MATCH($B67,TARIFF_TABLE[[#All],[Activity]],0),MATCH("ActivityType",TARIFF_TABLE[#Headers]))="Investigation",INDEX(TARIFF_TABLE[#All], MATCH($B67,TARIFF_TABLE[[#All],[Activity]],0),MATCH("Cost",TARIFF_TABLE[#Headers],0)),INDEX(Staff_Costs[#All],MATCH('Standard of Care'!D67,Staff_Costs[[#All],[Role]],0),MATCH("Per-minute cost",Staff_Costs[#Headers],0))*'Standard of Care'!C67)</f>
        <v>#N/A</v>
      </c>
      <c r="AJ67" s="475" t="e">
        <f>$AI67*COUNTA(tbl_Part_Act5[[#This Row],[Day -x to -y]:[Column27]])</f>
        <v>#N/A</v>
      </c>
      <c r="AK67" s="137" t="e">
        <f>INDEX('Tariff (hidden)'!$B$4:$B$133,MATCH(B67,'Tariff (hidden)'!$A$4:$A$133,0))</f>
        <v>#N/A</v>
      </c>
      <c r="AL67" s="135"/>
      <c r="AM67" s="135"/>
      <c r="AN67" s="124"/>
      <c r="AO67" s="576" t="e">
        <f t="shared" si="0"/>
        <v>#N/A</v>
      </c>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row>
    <row r="68" spans="1:124" s="2" customFormat="1" x14ac:dyDescent="0.25">
      <c r="A68" s="110"/>
      <c r="B68" s="111"/>
      <c r="C68" s="112"/>
      <c r="D68" s="111"/>
      <c r="E68" s="575"/>
      <c r="F68" s="114"/>
      <c r="G68" s="113"/>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5"/>
      <c r="AI68" s="116" t="e">
        <f>IF(INDEX(TARIFF_TABLE[#All], MATCH($B68,TARIFF_TABLE[[#All],[Activity]],0),MATCH("ActivityType",TARIFF_TABLE[#Headers]))="Investigation",INDEX(TARIFF_TABLE[#All], MATCH($B68,TARIFF_TABLE[[#All],[Activity]],0),MATCH("Cost",TARIFF_TABLE[#Headers],0)),INDEX(Staff_Costs[#All],MATCH('Standard of Care'!D68,Staff_Costs[[#All],[Role]],0),MATCH("Per-minute cost",Staff_Costs[#Headers],0))*'Standard of Care'!C68)</f>
        <v>#N/A</v>
      </c>
      <c r="AJ68" s="475" t="e">
        <f>$AI68*COUNTA(tbl_Part_Act5[[#This Row],[Day -x to -y]:[Column27]])</f>
        <v>#N/A</v>
      </c>
      <c r="AK68" s="137" t="e">
        <f>INDEX('Tariff (hidden)'!$B$4:$B$133,MATCH(B68,'Tariff (hidden)'!$A$4:$A$133,0))</f>
        <v>#N/A</v>
      </c>
      <c r="AL68" s="135"/>
      <c r="AM68" s="135"/>
      <c r="AN68" s="124"/>
      <c r="AO68" s="576" t="e">
        <f t="shared" si="0"/>
        <v>#N/A</v>
      </c>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row>
    <row r="69" spans="1:124" s="2" customFormat="1" x14ac:dyDescent="0.25">
      <c r="A69" s="110"/>
      <c r="B69" s="111"/>
      <c r="C69" s="112"/>
      <c r="D69" s="111"/>
      <c r="E69" s="575"/>
      <c r="F69" s="114"/>
      <c r="G69" s="113"/>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5"/>
      <c r="AI69" s="116" t="e">
        <f>IF(INDEX(TARIFF_TABLE[#All], MATCH($B69,TARIFF_TABLE[[#All],[Activity]],0),MATCH("ActivityType",TARIFF_TABLE[#Headers]))="Investigation",INDEX(TARIFF_TABLE[#All], MATCH($B69,TARIFF_TABLE[[#All],[Activity]],0),MATCH("Cost",TARIFF_TABLE[#Headers],0)),INDEX(Staff_Costs[#All],MATCH('Standard of Care'!D69,Staff_Costs[[#All],[Role]],0),MATCH("Per-minute cost",Staff_Costs[#Headers],0))*'Standard of Care'!C69)</f>
        <v>#N/A</v>
      </c>
      <c r="AJ69" s="475" t="e">
        <f>$AI69*COUNTA(tbl_Part_Act5[[#This Row],[Day -x to -y]:[Column27]])</f>
        <v>#N/A</v>
      </c>
      <c r="AK69" s="137" t="e">
        <f>INDEX('Tariff (hidden)'!$B$4:$B$133,MATCH(B69,'Tariff (hidden)'!$A$4:$A$133,0))</f>
        <v>#N/A</v>
      </c>
      <c r="AL69" s="135"/>
      <c r="AM69" s="135"/>
      <c r="AN69" s="124"/>
      <c r="AO69" s="576" t="e">
        <f t="shared" si="0"/>
        <v>#N/A</v>
      </c>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row>
    <row r="70" spans="1:124" s="2" customFormat="1" x14ac:dyDescent="0.25">
      <c r="A70" s="120"/>
      <c r="B70" s="118"/>
      <c r="C70" s="112"/>
      <c r="D70" s="118"/>
      <c r="E70" s="575"/>
      <c r="F70" s="121"/>
      <c r="G70" s="113"/>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MATCH($B70,TARIFF_TABLE[[#All],[Activity]],0),MATCH("Cost",TARIFF_TABLE[#Headers],0)),INDEX(Staff_Costs[#All],MATCH('Standard of Care'!D70,Staff_Costs[[#All],[Role]],0),MATCH("Per-minute cost",Staff_Costs[#Headers],0))*'Standard of Care'!C70)</f>
        <v>#N/A</v>
      </c>
      <c r="AJ70" s="475" t="e">
        <f>$AI70*COUNTA(tbl_Part_Act5[[#This Row],[Day -x to -y]:[Column27]])</f>
        <v>#N/A</v>
      </c>
      <c r="AK70" s="137" t="e">
        <f>INDEX('Tariff (hidden)'!$B$4:$B$133,MATCH(B70,'Tariff (hidden)'!$A$4:$A$133,0))</f>
        <v>#N/A</v>
      </c>
      <c r="AL70" s="135"/>
      <c r="AM70" s="135"/>
      <c r="AN70" s="124"/>
      <c r="AO70" s="576" t="e">
        <f t="shared" si="0"/>
        <v>#N/A</v>
      </c>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row>
    <row r="71" spans="1:124" x14ac:dyDescent="0.25">
      <c r="A71" s="120"/>
      <c r="B71" s="118"/>
      <c r="C71" s="112"/>
      <c r="D71" s="118"/>
      <c r="E71" s="575"/>
      <c r="F71" s="121"/>
      <c r="G71" s="113"/>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471" t="e">
        <f>IF(INDEX(TARIFF_TABLE[#All], MATCH($B71,TARIFF_TABLE[[#All],[Activity]],0),MATCH("ActivityType",TARIFF_TABLE[#Headers]))="Investigation",INDEX(TARIFF_TABLE[#All], MATCH($B71,TARIFF_TABLE[[#All],[Activity]],0),MATCH("Cost",TARIFF_TABLE[#Headers])),INDEX(Staff_Costs[#All],MATCH('Standard of Care'!D71,Staff_Costs[[#All],[Role]],0),MATCH("Per-minute cost",Staff_Costs[#Headers],0))*'Standard of Care'!C71)</f>
        <v>#N/A</v>
      </c>
      <c r="AJ71" s="475" t="e">
        <f t="shared" ref="AJ71:AJ114" si="1">COUNTIF($F71:$AG71, AJ$14)*$AI71</f>
        <v>#N/A</v>
      </c>
      <c r="AK71" s="472" t="e">
        <f>INDEX('Tariff (hidden)'!$B$4:$B$133,MATCH(B71,'Tariff (hidden)'!$A$4:$A$133,0))</f>
        <v>#N/A</v>
      </c>
      <c r="AO71" s="576" t="e">
        <f t="shared" si="0"/>
        <v>#N/A</v>
      </c>
    </row>
    <row r="72" spans="1:124" x14ac:dyDescent="0.25">
      <c r="A72" s="120"/>
      <c r="B72" s="118"/>
      <c r="C72" s="112"/>
      <c r="D72" s="118"/>
      <c r="E72" s="575"/>
      <c r="F72" s="121"/>
      <c r="G72" s="113"/>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471" t="e">
        <f>IF(INDEX(TARIFF_TABLE[#All], MATCH($B72,TARIFF_TABLE[[#All],[Activity]],0),MATCH("ActivityType",TARIFF_TABLE[#Headers]))="Investigation",INDEX(TARIFF_TABLE[#All], MATCH($B72,TARIFF_TABLE[[#All],[Activity]],0),MATCH("Cost",TARIFF_TABLE[#Headers])),INDEX(Staff_Costs[#All],MATCH('Standard of Care'!D72,Staff_Costs[[#All],[Role]],0),MATCH("Per-minute cost",Staff_Costs[#Headers],0))*'Standard of Care'!C72)</f>
        <v>#N/A</v>
      </c>
      <c r="AJ72" s="475" t="e">
        <f t="shared" si="1"/>
        <v>#N/A</v>
      </c>
      <c r="AK72" s="472" t="e">
        <f>INDEX('Tariff (hidden)'!$B$4:$B$133,MATCH(B72,'Tariff (hidden)'!$A$4:$A$133,0))</f>
        <v>#N/A</v>
      </c>
      <c r="AO72" s="576" t="e">
        <f t="shared" si="0"/>
        <v>#N/A</v>
      </c>
    </row>
    <row r="73" spans="1:124" x14ac:dyDescent="0.25">
      <c r="A73" s="120"/>
      <c r="B73" s="118"/>
      <c r="C73" s="112"/>
      <c r="D73" s="118"/>
      <c r="E73" s="575"/>
      <c r="F73" s="121"/>
      <c r="G73" s="113"/>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471" t="e">
        <f>IF(INDEX(TARIFF_TABLE[#All], MATCH($B73,TARIFF_TABLE[[#All],[Activity]],0),MATCH("ActivityType",TARIFF_TABLE[#Headers]))="Investigation",INDEX(TARIFF_TABLE[#All], MATCH($B73,TARIFF_TABLE[[#All],[Activity]],0),MATCH("Cost",TARIFF_TABLE[#Headers])),INDEX(Staff_Costs[#All],MATCH('Standard of Care'!D73,Staff_Costs[[#All],[Role]],0),MATCH("Per-minute cost",Staff_Costs[#Headers],0))*'Standard of Care'!C73)</f>
        <v>#N/A</v>
      </c>
      <c r="AJ73" s="475" t="e">
        <f t="shared" si="1"/>
        <v>#N/A</v>
      </c>
      <c r="AK73" s="472" t="e">
        <f>INDEX('Tariff (hidden)'!$B$4:$B$133,MATCH(B73,'Tariff (hidden)'!$A$4:$A$133,0))</f>
        <v>#N/A</v>
      </c>
      <c r="AO73" s="576" t="e">
        <f t="shared" si="0"/>
        <v>#N/A</v>
      </c>
    </row>
    <row r="74" spans="1:124" x14ac:dyDescent="0.25">
      <c r="A74" s="120"/>
      <c r="B74" s="118"/>
      <c r="C74" s="112"/>
      <c r="D74" s="118"/>
      <c r="E74" s="575"/>
      <c r="F74" s="121"/>
      <c r="G74" s="113"/>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471" t="e">
        <f>IF(INDEX(TARIFF_TABLE[#All], MATCH($B74,TARIFF_TABLE[[#All],[Activity]],0),MATCH("ActivityType",TARIFF_TABLE[#Headers]))="Investigation",INDEX(TARIFF_TABLE[#All], MATCH($B74,TARIFF_TABLE[[#All],[Activity]],0),MATCH("Cost",TARIFF_TABLE[#Headers])),INDEX(Staff_Costs[#All],MATCH('Standard of Care'!D74,Staff_Costs[[#All],[Role]],0),MATCH("Per-minute cost",Staff_Costs[#Headers],0))*'Standard of Care'!C74)</f>
        <v>#N/A</v>
      </c>
      <c r="AJ74" s="475" t="e">
        <f t="shared" si="1"/>
        <v>#N/A</v>
      </c>
      <c r="AK74" s="472" t="e">
        <f>INDEX('Tariff (hidden)'!$B$4:$B$133,MATCH(B74,'Tariff (hidden)'!$A$4:$A$133,0))</f>
        <v>#N/A</v>
      </c>
      <c r="AO74" s="576" t="e">
        <f t="shared" si="0"/>
        <v>#N/A</v>
      </c>
    </row>
    <row r="75" spans="1:124" x14ac:dyDescent="0.25">
      <c r="A75" s="120"/>
      <c r="B75" s="118"/>
      <c r="C75" s="112"/>
      <c r="D75" s="118"/>
      <c r="E75" s="575"/>
      <c r="F75" s="121"/>
      <c r="G75" s="113"/>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471" t="e">
        <f>IF(INDEX(TARIFF_TABLE[#All], MATCH($B75,TARIFF_TABLE[[#All],[Activity]],0),MATCH("ActivityType",TARIFF_TABLE[#Headers]))="Investigation",INDEX(TARIFF_TABLE[#All], MATCH($B75,TARIFF_TABLE[[#All],[Activity]],0),MATCH("Cost",TARIFF_TABLE[#Headers])),INDEX(Staff_Costs[#All],MATCH('Standard of Care'!D75,Staff_Costs[[#All],[Role]],0),MATCH("Per-minute cost",Staff_Costs[#Headers],0))*'Standard of Care'!C75)</f>
        <v>#N/A</v>
      </c>
      <c r="AJ75" s="475" t="e">
        <f t="shared" si="1"/>
        <v>#N/A</v>
      </c>
      <c r="AK75" s="472" t="e">
        <f>INDEX('Tariff (hidden)'!$B$4:$B$133,MATCH(B75,'Tariff (hidden)'!$A$4:$A$133,0))</f>
        <v>#N/A</v>
      </c>
      <c r="AO75" s="576" t="e">
        <f t="shared" si="0"/>
        <v>#N/A</v>
      </c>
    </row>
    <row r="76" spans="1:124" x14ac:dyDescent="0.25">
      <c r="A76" s="120"/>
      <c r="B76" s="118"/>
      <c r="C76" s="112"/>
      <c r="D76" s="118"/>
      <c r="E76" s="575"/>
      <c r="F76" s="121"/>
      <c r="G76" s="113"/>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471" t="e">
        <f>IF(INDEX(TARIFF_TABLE[#All], MATCH($B76,TARIFF_TABLE[[#All],[Activity]],0),MATCH("ActivityType",TARIFF_TABLE[#Headers]))="Investigation",INDEX(TARIFF_TABLE[#All], MATCH($B76,TARIFF_TABLE[[#All],[Activity]],0),MATCH("Cost",TARIFF_TABLE[#Headers])),INDEX(Staff_Costs[#All],MATCH('Standard of Care'!D76,Staff_Costs[[#All],[Role]],0),MATCH("Per-minute cost",Staff_Costs[#Headers],0))*'Standard of Care'!C76)</f>
        <v>#N/A</v>
      </c>
      <c r="AJ76" s="475" t="e">
        <f t="shared" si="1"/>
        <v>#N/A</v>
      </c>
      <c r="AK76" s="472" t="e">
        <f>INDEX('Tariff (hidden)'!$B$4:$B$133,MATCH(B76,'Tariff (hidden)'!$A$4:$A$133,0))</f>
        <v>#N/A</v>
      </c>
      <c r="AO76" s="576" t="e">
        <f t="shared" si="0"/>
        <v>#N/A</v>
      </c>
    </row>
    <row r="77" spans="1:124" x14ac:dyDescent="0.25">
      <c r="A77" s="120"/>
      <c r="B77" s="118"/>
      <c r="C77" s="112"/>
      <c r="D77" s="118"/>
      <c r="E77" s="575"/>
      <c r="F77" s="121"/>
      <c r="G77" s="113"/>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471" t="e">
        <f>IF(INDEX(TARIFF_TABLE[#All], MATCH($B77,TARIFF_TABLE[[#All],[Activity]],0),MATCH("ActivityType",TARIFF_TABLE[#Headers]))="Investigation",INDEX(TARIFF_TABLE[#All], MATCH($B77,TARIFF_TABLE[[#All],[Activity]],0),MATCH("Cost",TARIFF_TABLE[#Headers])),INDEX(Staff_Costs[#All],MATCH('Standard of Care'!D77,Staff_Costs[[#All],[Role]],0),MATCH("Per-minute cost",Staff_Costs[#Headers],0))*'Standard of Care'!C77)</f>
        <v>#N/A</v>
      </c>
      <c r="AJ77" s="475" t="e">
        <f t="shared" si="1"/>
        <v>#N/A</v>
      </c>
      <c r="AK77" s="472" t="e">
        <f>INDEX('Tariff (hidden)'!$B$4:$B$133,MATCH(B77,'Tariff (hidden)'!$A$4:$A$133,0))</f>
        <v>#N/A</v>
      </c>
      <c r="AO77" s="576" t="e">
        <f t="shared" si="0"/>
        <v>#N/A</v>
      </c>
    </row>
    <row r="78" spans="1:124" x14ac:dyDescent="0.25">
      <c r="A78" s="120"/>
      <c r="B78" s="118"/>
      <c r="C78" s="112"/>
      <c r="D78" s="118"/>
      <c r="E78" s="575"/>
      <c r="F78" s="121"/>
      <c r="G78" s="113"/>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471" t="e">
        <f>IF(INDEX(TARIFF_TABLE[#All], MATCH($B78,TARIFF_TABLE[[#All],[Activity]],0),MATCH("ActivityType",TARIFF_TABLE[#Headers]))="Investigation",INDEX(TARIFF_TABLE[#All], MATCH($B78,TARIFF_TABLE[[#All],[Activity]],0),MATCH("Cost",TARIFF_TABLE[#Headers])),INDEX(Staff_Costs[#All],MATCH('Standard of Care'!D78,Staff_Costs[[#All],[Role]],0),MATCH("Per-minute cost",Staff_Costs[#Headers],0))*'Standard of Care'!C78)</f>
        <v>#N/A</v>
      </c>
      <c r="AJ78" s="475" t="e">
        <f t="shared" si="1"/>
        <v>#N/A</v>
      </c>
      <c r="AK78" s="472" t="e">
        <f>INDEX('Tariff (hidden)'!$B$4:$B$133,MATCH(B78,'Tariff (hidden)'!$A$4:$A$133,0))</f>
        <v>#N/A</v>
      </c>
      <c r="AO78" s="576" t="e">
        <f t="shared" si="0"/>
        <v>#N/A</v>
      </c>
    </row>
    <row r="79" spans="1:124" x14ac:dyDescent="0.25">
      <c r="A79" s="120"/>
      <c r="B79" s="118"/>
      <c r="C79" s="112"/>
      <c r="D79" s="118"/>
      <c r="E79" s="575"/>
      <c r="F79" s="121"/>
      <c r="G79" s="113"/>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471" t="e">
        <f>IF(INDEX(TARIFF_TABLE[#All], MATCH($B79,TARIFF_TABLE[[#All],[Activity]],0),MATCH("ActivityType",TARIFF_TABLE[#Headers]))="Investigation",INDEX(TARIFF_TABLE[#All], MATCH($B79,TARIFF_TABLE[[#All],[Activity]],0),MATCH("Cost",TARIFF_TABLE[#Headers])),INDEX(Staff_Costs[#All],MATCH('Standard of Care'!D79,Staff_Costs[[#All],[Role]],0),MATCH("Per-minute cost",Staff_Costs[#Headers],0))*'Standard of Care'!C79)</f>
        <v>#N/A</v>
      </c>
      <c r="AJ79" s="475" t="e">
        <f t="shared" si="1"/>
        <v>#N/A</v>
      </c>
      <c r="AK79" s="472" t="e">
        <f>INDEX('Tariff (hidden)'!$B$4:$B$133,MATCH(B79,'Tariff (hidden)'!$A$4:$A$133,0))</f>
        <v>#N/A</v>
      </c>
      <c r="AO79" s="576" t="e">
        <f t="shared" si="0"/>
        <v>#N/A</v>
      </c>
    </row>
    <row r="80" spans="1:124" x14ac:dyDescent="0.25">
      <c r="A80" s="120"/>
      <c r="B80" s="118"/>
      <c r="C80" s="112"/>
      <c r="D80" s="118"/>
      <c r="E80" s="575"/>
      <c r="F80" s="121"/>
      <c r="G80" s="113"/>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471" t="e">
        <f>IF(INDEX(TARIFF_TABLE[#All], MATCH($B80,TARIFF_TABLE[[#All],[Activity]],0),MATCH("ActivityType",TARIFF_TABLE[#Headers]))="Investigation",INDEX(TARIFF_TABLE[#All], MATCH($B80,TARIFF_TABLE[[#All],[Activity]],0),MATCH("Cost",TARIFF_TABLE[#Headers])),INDEX(Staff_Costs[#All],MATCH('Standard of Care'!D80,Staff_Costs[[#All],[Role]],0),MATCH("Per-minute cost",Staff_Costs[#Headers],0))*'Standard of Care'!C80)</f>
        <v>#N/A</v>
      </c>
      <c r="AJ80" s="475" t="e">
        <f t="shared" si="1"/>
        <v>#N/A</v>
      </c>
      <c r="AK80" s="472" t="e">
        <f>INDEX('Tariff (hidden)'!$B$4:$B$133,MATCH(B80,'Tariff (hidden)'!$A$4:$A$133,0))</f>
        <v>#N/A</v>
      </c>
      <c r="AO80" s="576" t="e">
        <f t="shared" si="0"/>
        <v>#N/A</v>
      </c>
    </row>
    <row r="81" spans="1:41" x14ac:dyDescent="0.25">
      <c r="A81" s="120"/>
      <c r="B81" s="118"/>
      <c r="C81" s="112"/>
      <c r="D81" s="118"/>
      <c r="E81" s="575"/>
      <c r="F81" s="121"/>
      <c r="G81" s="113"/>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471" t="e">
        <f>IF(INDEX(TARIFF_TABLE[#All], MATCH($B81,TARIFF_TABLE[[#All],[Activity]],0),MATCH("ActivityType",TARIFF_TABLE[#Headers]))="Investigation",INDEX(TARIFF_TABLE[#All], MATCH($B81,TARIFF_TABLE[[#All],[Activity]],0),MATCH("Cost",TARIFF_TABLE[#Headers])),INDEX(Staff_Costs[#All],MATCH('Standard of Care'!D81,Staff_Costs[[#All],[Role]],0),MATCH("Per-minute cost",Staff_Costs[#Headers],0))*'Standard of Care'!C81)</f>
        <v>#N/A</v>
      </c>
      <c r="AJ81" s="475" t="e">
        <f t="shared" si="1"/>
        <v>#N/A</v>
      </c>
      <c r="AK81" s="472" t="e">
        <f>INDEX('Tariff (hidden)'!$B$4:$B$133,MATCH(B81,'Tariff (hidden)'!$A$4:$A$133,0))</f>
        <v>#N/A</v>
      </c>
      <c r="AO81" s="576" t="e">
        <f t="shared" ref="AO81:AO114" si="2">AK81</f>
        <v>#N/A</v>
      </c>
    </row>
    <row r="82" spans="1:41" x14ac:dyDescent="0.25">
      <c r="A82" s="120"/>
      <c r="B82" s="118"/>
      <c r="C82" s="112"/>
      <c r="D82" s="118"/>
      <c r="E82" s="575"/>
      <c r="F82" s="121"/>
      <c r="G82" s="113"/>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471" t="e">
        <f>IF(INDEX(TARIFF_TABLE[#All], MATCH($B82,TARIFF_TABLE[[#All],[Activity]],0),MATCH("ActivityType",TARIFF_TABLE[#Headers]))="Investigation",INDEX(TARIFF_TABLE[#All], MATCH($B82,TARIFF_TABLE[[#All],[Activity]],0),MATCH("Cost",TARIFF_TABLE[#Headers])),INDEX(Staff_Costs[#All],MATCH('Standard of Care'!D82,Staff_Costs[[#All],[Role]],0),MATCH("Per-minute cost",Staff_Costs[#Headers],0))*'Standard of Care'!C82)</f>
        <v>#N/A</v>
      </c>
      <c r="AJ82" s="475" t="e">
        <f t="shared" si="1"/>
        <v>#N/A</v>
      </c>
      <c r="AK82" s="472" t="e">
        <f>INDEX('Tariff (hidden)'!$B$4:$B$133,MATCH(B82,'Tariff (hidden)'!$A$4:$A$133,0))</f>
        <v>#N/A</v>
      </c>
      <c r="AO82" s="576" t="e">
        <f t="shared" si="2"/>
        <v>#N/A</v>
      </c>
    </row>
    <row r="83" spans="1:41" x14ac:dyDescent="0.25">
      <c r="A83" s="120"/>
      <c r="B83" s="118"/>
      <c r="C83" s="112"/>
      <c r="D83" s="118"/>
      <c r="E83" s="575"/>
      <c r="F83" s="121"/>
      <c r="G83" s="113"/>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471" t="e">
        <f>IF(INDEX(TARIFF_TABLE[#All], MATCH($B83,TARIFF_TABLE[[#All],[Activity]],0),MATCH("ActivityType",TARIFF_TABLE[#Headers]))="Investigation",INDEX(TARIFF_TABLE[#All], MATCH($B83,TARIFF_TABLE[[#All],[Activity]],0),MATCH("Cost",TARIFF_TABLE[#Headers])),INDEX(Staff_Costs[#All],MATCH('Standard of Care'!D83,Staff_Costs[[#All],[Role]],0),MATCH("Per-minute cost",Staff_Costs[#Headers],0))*'Standard of Care'!C83)</f>
        <v>#N/A</v>
      </c>
      <c r="AJ83" s="475" t="e">
        <f t="shared" si="1"/>
        <v>#N/A</v>
      </c>
      <c r="AK83" s="472" t="e">
        <f>INDEX('Tariff (hidden)'!$B$4:$B$133,MATCH(B83,'Tariff (hidden)'!$A$4:$A$133,0))</f>
        <v>#N/A</v>
      </c>
      <c r="AO83" s="576" t="e">
        <f t="shared" si="2"/>
        <v>#N/A</v>
      </c>
    </row>
    <row r="84" spans="1:41" x14ac:dyDescent="0.25">
      <c r="A84" s="120"/>
      <c r="B84" s="118"/>
      <c r="C84" s="112"/>
      <c r="D84" s="118"/>
      <c r="E84" s="575"/>
      <c r="F84" s="121"/>
      <c r="G84" s="113"/>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471" t="e">
        <f>IF(INDEX(TARIFF_TABLE[#All], MATCH($B84,TARIFF_TABLE[[#All],[Activity]],0),MATCH("ActivityType",TARIFF_TABLE[#Headers]))="Investigation",INDEX(TARIFF_TABLE[#All], MATCH($B84,TARIFF_TABLE[[#All],[Activity]],0),MATCH("Cost",TARIFF_TABLE[#Headers])),INDEX(Staff_Costs[#All],MATCH('Standard of Care'!D84,Staff_Costs[[#All],[Role]],0),MATCH("Per-minute cost",Staff_Costs[#Headers],0))*'Standard of Care'!C84)</f>
        <v>#N/A</v>
      </c>
      <c r="AJ84" s="475" t="e">
        <f t="shared" si="1"/>
        <v>#N/A</v>
      </c>
      <c r="AK84" s="472" t="e">
        <f>INDEX('Tariff (hidden)'!$B$4:$B$133,MATCH(B84,'Tariff (hidden)'!$A$4:$A$133,0))</f>
        <v>#N/A</v>
      </c>
      <c r="AO84" s="576" t="e">
        <f t="shared" si="2"/>
        <v>#N/A</v>
      </c>
    </row>
    <row r="85" spans="1:41" x14ac:dyDescent="0.25">
      <c r="A85" s="120"/>
      <c r="B85" s="118"/>
      <c r="C85" s="112"/>
      <c r="D85" s="118"/>
      <c r="E85" s="575"/>
      <c r="F85" s="121"/>
      <c r="G85" s="113"/>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471" t="e">
        <f>IF(INDEX(TARIFF_TABLE[#All], MATCH($B85,TARIFF_TABLE[[#All],[Activity]],0),MATCH("ActivityType",TARIFF_TABLE[#Headers]))="Investigation",INDEX(TARIFF_TABLE[#All], MATCH($B85,TARIFF_TABLE[[#All],[Activity]],0),MATCH("Cost",TARIFF_TABLE[#Headers])),INDEX(Staff_Costs[#All],MATCH('Standard of Care'!D85,Staff_Costs[[#All],[Role]],0),MATCH("Per-minute cost",Staff_Costs[#Headers],0))*'Standard of Care'!C85)</f>
        <v>#N/A</v>
      </c>
      <c r="AJ85" s="475" t="e">
        <f t="shared" si="1"/>
        <v>#N/A</v>
      </c>
      <c r="AK85" s="472" t="e">
        <f>INDEX('Tariff (hidden)'!$B$4:$B$133,MATCH(B85,'Tariff (hidden)'!$A$4:$A$133,0))</f>
        <v>#N/A</v>
      </c>
      <c r="AO85" s="576" t="e">
        <f t="shared" si="2"/>
        <v>#N/A</v>
      </c>
    </row>
    <row r="86" spans="1:41" x14ac:dyDescent="0.25">
      <c r="A86" s="120"/>
      <c r="B86" s="118"/>
      <c r="C86" s="112"/>
      <c r="D86" s="118"/>
      <c r="E86" s="575"/>
      <c r="F86" s="121"/>
      <c r="G86" s="113"/>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471" t="e">
        <f>IF(INDEX(TARIFF_TABLE[#All], MATCH($B86,TARIFF_TABLE[[#All],[Activity]],0),MATCH("ActivityType",TARIFF_TABLE[#Headers]))="Investigation",INDEX(TARIFF_TABLE[#All], MATCH($B86,TARIFF_TABLE[[#All],[Activity]],0),MATCH("Cost",TARIFF_TABLE[#Headers])),INDEX(Staff_Costs[#All],MATCH('Standard of Care'!D86,Staff_Costs[[#All],[Role]],0),MATCH("Per-minute cost",Staff_Costs[#Headers],0))*'Standard of Care'!C86)</f>
        <v>#N/A</v>
      </c>
      <c r="AJ86" s="475" t="e">
        <f t="shared" si="1"/>
        <v>#N/A</v>
      </c>
      <c r="AK86" s="472" t="e">
        <f>INDEX('Tariff (hidden)'!$B$4:$B$133,MATCH(B86,'Tariff (hidden)'!$A$4:$A$133,0))</f>
        <v>#N/A</v>
      </c>
      <c r="AO86" s="576" t="e">
        <f t="shared" si="2"/>
        <v>#N/A</v>
      </c>
    </row>
    <row r="87" spans="1:41" x14ac:dyDescent="0.25">
      <c r="A87" s="120"/>
      <c r="B87" s="118"/>
      <c r="C87" s="112"/>
      <c r="D87" s="118"/>
      <c r="E87" s="575"/>
      <c r="F87" s="121"/>
      <c r="G87" s="113"/>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471" t="e">
        <f>IF(INDEX(TARIFF_TABLE[#All], MATCH($B87,TARIFF_TABLE[[#All],[Activity]],0),MATCH("ActivityType",TARIFF_TABLE[#Headers]))="Investigation",INDEX(TARIFF_TABLE[#All], MATCH($B87,TARIFF_TABLE[[#All],[Activity]],0),MATCH("Cost",TARIFF_TABLE[#Headers])),INDEX(Staff_Costs[#All],MATCH('Standard of Care'!D87,Staff_Costs[[#All],[Role]],0),MATCH("Per-minute cost",Staff_Costs[#Headers],0))*'Standard of Care'!C87)</f>
        <v>#N/A</v>
      </c>
      <c r="AJ87" s="475" t="e">
        <f t="shared" si="1"/>
        <v>#N/A</v>
      </c>
      <c r="AK87" s="472" t="e">
        <f>INDEX('Tariff (hidden)'!$B$4:$B$133,MATCH(B87,'Tariff (hidden)'!$A$4:$A$133,0))</f>
        <v>#N/A</v>
      </c>
      <c r="AO87" s="576" t="e">
        <f t="shared" si="2"/>
        <v>#N/A</v>
      </c>
    </row>
    <row r="88" spans="1:41" x14ac:dyDescent="0.25">
      <c r="A88" s="120"/>
      <c r="B88" s="118"/>
      <c r="C88" s="112"/>
      <c r="D88" s="118"/>
      <c r="E88" s="575"/>
      <c r="F88" s="121"/>
      <c r="G88" s="113"/>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471" t="e">
        <f>IF(INDEX(TARIFF_TABLE[#All], MATCH($B88,TARIFF_TABLE[[#All],[Activity]],0),MATCH("ActivityType",TARIFF_TABLE[#Headers]))="Investigation",INDEX(TARIFF_TABLE[#All], MATCH($B88,TARIFF_TABLE[[#All],[Activity]],0),MATCH("Cost",TARIFF_TABLE[#Headers])),INDEX(Staff_Costs[#All],MATCH('Standard of Care'!D88,Staff_Costs[[#All],[Role]],0),MATCH("Per-minute cost",Staff_Costs[#Headers],0))*'Standard of Care'!C88)</f>
        <v>#N/A</v>
      </c>
      <c r="AJ88" s="475" t="e">
        <f t="shared" si="1"/>
        <v>#N/A</v>
      </c>
      <c r="AK88" s="472" t="e">
        <f>INDEX('Tariff (hidden)'!$B$4:$B$133,MATCH(B88,'Tariff (hidden)'!$A$4:$A$133,0))</f>
        <v>#N/A</v>
      </c>
      <c r="AO88" s="576" t="e">
        <f t="shared" si="2"/>
        <v>#N/A</v>
      </c>
    </row>
    <row r="89" spans="1:41" x14ac:dyDescent="0.25">
      <c r="A89" s="120"/>
      <c r="B89" s="118"/>
      <c r="C89" s="112"/>
      <c r="D89" s="118"/>
      <c r="E89" s="575"/>
      <c r="F89" s="121"/>
      <c r="G89" s="113"/>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471" t="e">
        <f>IF(INDEX(TARIFF_TABLE[#All], MATCH($B89,TARIFF_TABLE[[#All],[Activity]],0),MATCH("ActivityType",TARIFF_TABLE[#Headers]))="Investigation",INDEX(TARIFF_TABLE[#All], MATCH($B89,TARIFF_TABLE[[#All],[Activity]],0),MATCH("Cost",TARIFF_TABLE[#Headers])),INDEX(Staff_Costs[#All],MATCH('Standard of Care'!D89,Staff_Costs[[#All],[Role]],0),MATCH("Per-minute cost",Staff_Costs[#Headers],0))*'Standard of Care'!C89)</f>
        <v>#N/A</v>
      </c>
      <c r="AJ89" s="475" t="e">
        <f t="shared" si="1"/>
        <v>#N/A</v>
      </c>
      <c r="AK89" s="472" t="e">
        <f>INDEX('Tariff (hidden)'!$B$4:$B$133,MATCH(B89,'Tariff (hidden)'!$A$4:$A$133,0))</f>
        <v>#N/A</v>
      </c>
      <c r="AO89" s="576" t="e">
        <f t="shared" si="2"/>
        <v>#N/A</v>
      </c>
    </row>
    <row r="90" spans="1:41" x14ac:dyDescent="0.25">
      <c r="A90" s="120"/>
      <c r="B90" s="118"/>
      <c r="C90" s="112"/>
      <c r="D90" s="118"/>
      <c r="E90" s="575"/>
      <c r="F90" s="121"/>
      <c r="G90" s="113"/>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471" t="e">
        <f>IF(INDEX(TARIFF_TABLE[#All], MATCH($B90,TARIFF_TABLE[[#All],[Activity]],0),MATCH("ActivityType",TARIFF_TABLE[#Headers]))="Investigation",INDEX(TARIFF_TABLE[#All], MATCH($B90,TARIFF_TABLE[[#All],[Activity]],0),MATCH("Cost",TARIFF_TABLE[#Headers])),INDEX(Staff_Costs[#All],MATCH('Standard of Care'!D90,Staff_Costs[[#All],[Role]],0),MATCH("Per-minute cost",Staff_Costs[#Headers],0))*'Standard of Care'!C90)</f>
        <v>#N/A</v>
      </c>
      <c r="AJ90" s="475" t="e">
        <f t="shared" si="1"/>
        <v>#N/A</v>
      </c>
      <c r="AK90" s="472" t="e">
        <f>INDEX('Tariff (hidden)'!$B$4:$B$133,MATCH(B90,'Tariff (hidden)'!$A$4:$A$133,0))</f>
        <v>#N/A</v>
      </c>
      <c r="AO90" s="576" t="e">
        <f t="shared" si="2"/>
        <v>#N/A</v>
      </c>
    </row>
    <row r="91" spans="1:41" x14ac:dyDescent="0.25">
      <c r="A91" s="120"/>
      <c r="B91" s="118"/>
      <c r="C91" s="112"/>
      <c r="D91" s="118"/>
      <c r="E91" s="575"/>
      <c r="F91" s="121"/>
      <c r="G91" s="113"/>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471" t="e">
        <f>IF(INDEX(TARIFF_TABLE[#All], MATCH($B91,TARIFF_TABLE[[#All],[Activity]],0),MATCH("ActivityType",TARIFF_TABLE[#Headers]))="Investigation",INDEX(TARIFF_TABLE[#All], MATCH($B91,TARIFF_TABLE[[#All],[Activity]],0),MATCH("Cost",TARIFF_TABLE[#Headers])),INDEX(Staff_Costs[#All],MATCH('Standard of Care'!D91,Staff_Costs[[#All],[Role]],0),MATCH("Per-minute cost",Staff_Costs[#Headers],0))*'Standard of Care'!C91)</f>
        <v>#N/A</v>
      </c>
      <c r="AJ91" s="475" t="e">
        <f t="shared" si="1"/>
        <v>#N/A</v>
      </c>
      <c r="AK91" s="472" t="e">
        <f>INDEX('Tariff (hidden)'!$B$4:$B$133,MATCH(B91,'Tariff (hidden)'!$A$4:$A$133,0))</f>
        <v>#N/A</v>
      </c>
      <c r="AO91" s="576" t="e">
        <f t="shared" si="2"/>
        <v>#N/A</v>
      </c>
    </row>
    <row r="92" spans="1:41" x14ac:dyDescent="0.25">
      <c r="A92" s="120"/>
      <c r="B92" s="118"/>
      <c r="C92" s="112"/>
      <c r="D92" s="118"/>
      <c r="E92" s="575"/>
      <c r="F92" s="121"/>
      <c r="G92" s="113"/>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471" t="e">
        <f>IF(INDEX(TARIFF_TABLE[#All], MATCH($B92,TARIFF_TABLE[[#All],[Activity]],0),MATCH("ActivityType",TARIFF_TABLE[#Headers]))="Investigation",INDEX(TARIFF_TABLE[#All], MATCH($B92,TARIFF_TABLE[[#All],[Activity]],0),MATCH("Cost",TARIFF_TABLE[#Headers])),INDEX(Staff_Costs[#All],MATCH('Standard of Care'!D92,Staff_Costs[[#All],[Role]],0),MATCH("Per-minute cost",Staff_Costs[#Headers],0))*'Standard of Care'!C92)</f>
        <v>#N/A</v>
      </c>
      <c r="AJ92" s="475" t="e">
        <f t="shared" si="1"/>
        <v>#N/A</v>
      </c>
      <c r="AK92" s="472" t="e">
        <f>INDEX('Tariff (hidden)'!$B$4:$B$133,MATCH(B92,'Tariff (hidden)'!$A$4:$A$133,0))</f>
        <v>#N/A</v>
      </c>
      <c r="AO92" s="576" t="e">
        <f t="shared" si="2"/>
        <v>#N/A</v>
      </c>
    </row>
    <row r="93" spans="1:41" x14ac:dyDescent="0.25">
      <c r="A93" s="120"/>
      <c r="B93" s="118"/>
      <c r="C93" s="112"/>
      <c r="D93" s="118"/>
      <c r="E93" s="575"/>
      <c r="F93" s="121"/>
      <c r="G93" s="113"/>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471" t="e">
        <f>IF(INDEX(TARIFF_TABLE[#All], MATCH($B93,TARIFF_TABLE[[#All],[Activity]],0),MATCH("ActivityType",TARIFF_TABLE[#Headers]))="Investigation",INDEX(TARIFF_TABLE[#All], MATCH($B93,TARIFF_TABLE[[#All],[Activity]],0),MATCH("Cost",TARIFF_TABLE[#Headers])),INDEX(Staff_Costs[#All],MATCH('Standard of Care'!D93,Staff_Costs[[#All],[Role]],0),MATCH("Per-minute cost",Staff_Costs[#Headers],0))*'Standard of Care'!C93)</f>
        <v>#N/A</v>
      </c>
      <c r="AJ93" s="475" t="e">
        <f t="shared" si="1"/>
        <v>#N/A</v>
      </c>
      <c r="AK93" s="472" t="e">
        <f>INDEX('Tariff (hidden)'!$B$4:$B$133,MATCH(B93,'Tariff (hidden)'!$A$4:$A$133,0))</f>
        <v>#N/A</v>
      </c>
      <c r="AO93" s="576" t="e">
        <f t="shared" si="2"/>
        <v>#N/A</v>
      </c>
    </row>
    <row r="94" spans="1:41" x14ac:dyDescent="0.25">
      <c r="A94" s="120"/>
      <c r="B94" s="118"/>
      <c r="C94" s="112"/>
      <c r="D94" s="118"/>
      <c r="E94" s="575"/>
      <c r="F94" s="121"/>
      <c r="G94" s="113"/>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471" t="e">
        <f>IF(INDEX(TARIFF_TABLE[#All], MATCH($B94,TARIFF_TABLE[[#All],[Activity]],0),MATCH("ActivityType",TARIFF_TABLE[#Headers]))="Investigation",INDEX(TARIFF_TABLE[#All], MATCH($B94,TARIFF_TABLE[[#All],[Activity]],0),MATCH("Cost",TARIFF_TABLE[#Headers])),INDEX(Staff_Costs[#All],MATCH('Standard of Care'!D94,Staff_Costs[[#All],[Role]],0),MATCH("Per-minute cost",Staff_Costs[#Headers],0))*'Standard of Care'!C94)</f>
        <v>#N/A</v>
      </c>
      <c r="AJ94" s="475" t="e">
        <f t="shared" si="1"/>
        <v>#N/A</v>
      </c>
      <c r="AK94" s="472" t="e">
        <f>INDEX('Tariff (hidden)'!$B$4:$B$133,MATCH(B94,'Tariff (hidden)'!$A$4:$A$133,0))</f>
        <v>#N/A</v>
      </c>
      <c r="AO94" s="576" t="e">
        <f t="shared" si="2"/>
        <v>#N/A</v>
      </c>
    </row>
    <row r="95" spans="1:41" x14ac:dyDescent="0.25">
      <c r="A95" s="120"/>
      <c r="B95" s="118"/>
      <c r="C95" s="112"/>
      <c r="D95" s="118"/>
      <c r="E95" s="575"/>
      <c r="F95" s="121"/>
      <c r="G95" s="113"/>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471" t="e">
        <f>IF(INDEX(TARIFF_TABLE[#All], MATCH($B95,TARIFF_TABLE[[#All],[Activity]],0),MATCH("ActivityType",TARIFF_TABLE[#Headers]))="Investigation",INDEX(TARIFF_TABLE[#All], MATCH($B95,TARIFF_TABLE[[#All],[Activity]],0),MATCH("Cost",TARIFF_TABLE[#Headers])),INDEX(Staff_Costs[#All],MATCH('Standard of Care'!D95,Staff_Costs[[#All],[Role]],0),MATCH("Per-minute cost",Staff_Costs[#Headers],0))*'Standard of Care'!C95)</f>
        <v>#N/A</v>
      </c>
      <c r="AJ95" s="475" t="e">
        <f t="shared" si="1"/>
        <v>#N/A</v>
      </c>
      <c r="AK95" s="472" t="e">
        <f>INDEX('Tariff (hidden)'!$B$4:$B$133,MATCH(B95,'Tariff (hidden)'!$A$4:$A$133,0))</f>
        <v>#N/A</v>
      </c>
      <c r="AO95" s="576" t="e">
        <f t="shared" si="2"/>
        <v>#N/A</v>
      </c>
    </row>
    <row r="96" spans="1:41" x14ac:dyDescent="0.25">
      <c r="A96" s="120"/>
      <c r="B96" s="118"/>
      <c r="C96" s="112"/>
      <c r="D96" s="118"/>
      <c r="E96" s="575"/>
      <c r="F96" s="121"/>
      <c r="G96" s="113"/>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471" t="e">
        <f>IF(INDEX(TARIFF_TABLE[#All], MATCH($B96,TARIFF_TABLE[[#All],[Activity]],0),MATCH("ActivityType",TARIFF_TABLE[#Headers]))="Investigation",INDEX(TARIFF_TABLE[#All], MATCH($B96,TARIFF_TABLE[[#All],[Activity]],0),MATCH("Cost",TARIFF_TABLE[#Headers])),INDEX(Staff_Costs[#All],MATCH('Standard of Care'!D96,Staff_Costs[[#All],[Role]],0),MATCH("Per-minute cost",Staff_Costs[#Headers],0))*'Standard of Care'!C96)</f>
        <v>#N/A</v>
      </c>
      <c r="AJ96" s="475" t="e">
        <f t="shared" si="1"/>
        <v>#N/A</v>
      </c>
      <c r="AK96" s="472" t="e">
        <f>INDEX('Tariff (hidden)'!$B$4:$B$133,MATCH(B96,'Tariff (hidden)'!$A$4:$A$133,0))</f>
        <v>#N/A</v>
      </c>
      <c r="AO96" s="576" t="e">
        <f t="shared" si="2"/>
        <v>#N/A</v>
      </c>
    </row>
    <row r="97" spans="1:41" x14ac:dyDescent="0.25">
      <c r="A97" s="120"/>
      <c r="B97" s="118"/>
      <c r="C97" s="112"/>
      <c r="D97" s="118"/>
      <c r="E97" s="575"/>
      <c r="F97" s="121"/>
      <c r="G97" s="113"/>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471" t="e">
        <f>IF(INDEX(TARIFF_TABLE[#All], MATCH($B97,TARIFF_TABLE[[#All],[Activity]],0),MATCH("ActivityType",TARIFF_TABLE[#Headers]))="Investigation",INDEX(TARIFF_TABLE[#All], MATCH($B97,TARIFF_TABLE[[#All],[Activity]],0),MATCH("Cost",TARIFF_TABLE[#Headers])),INDEX(Staff_Costs[#All],MATCH('Standard of Care'!D97,Staff_Costs[[#All],[Role]],0),MATCH("Per-minute cost",Staff_Costs[#Headers],0))*'Standard of Care'!C97)</f>
        <v>#N/A</v>
      </c>
      <c r="AJ97" s="475" t="e">
        <f t="shared" si="1"/>
        <v>#N/A</v>
      </c>
      <c r="AK97" s="472" t="e">
        <f>INDEX('Tariff (hidden)'!$B$4:$B$133,MATCH(B97,'Tariff (hidden)'!$A$4:$A$133,0))</f>
        <v>#N/A</v>
      </c>
      <c r="AO97" s="576" t="e">
        <f t="shared" si="2"/>
        <v>#N/A</v>
      </c>
    </row>
    <row r="98" spans="1:41" x14ac:dyDescent="0.25">
      <c r="A98" s="120"/>
      <c r="B98" s="118"/>
      <c r="C98" s="112"/>
      <c r="D98" s="118"/>
      <c r="E98" s="575"/>
      <c r="F98" s="121"/>
      <c r="G98" s="113"/>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471" t="e">
        <f>IF(INDEX(TARIFF_TABLE[#All], MATCH($B98,TARIFF_TABLE[[#All],[Activity]],0),MATCH("ActivityType",TARIFF_TABLE[#Headers]))="Investigation",INDEX(TARIFF_TABLE[#All], MATCH($B98,TARIFF_TABLE[[#All],[Activity]],0),MATCH("Cost",TARIFF_TABLE[#Headers])),INDEX(Staff_Costs[#All],MATCH('Standard of Care'!D98,Staff_Costs[[#All],[Role]],0),MATCH("Per-minute cost",Staff_Costs[#Headers],0))*'Standard of Care'!C98)</f>
        <v>#N/A</v>
      </c>
      <c r="AJ98" s="475" t="e">
        <f t="shared" si="1"/>
        <v>#N/A</v>
      </c>
      <c r="AK98" s="472" t="e">
        <f>INDEX('Tariff (hidden)'!$B$4:$B$133,MATCH(B98,'Tariff (hidden)'!$A$4:$A$133,0))</f>
        <v>#N/A</v>
      </c>
      <c r="AO98" s="576" t="e">
        <f t="shared" si="2"/>
        <v>#N/A</v>
      </c>
    </row>
    <row r="99" spans="1:41" x14ac:dyDescent="0.25">
      <c r="A99" s="120"/>
      <c r="B99" s="118"/>
      <c r="C99" s="112"/>
      <c r="D99" s="118"/>
      <c r="E99" s="575"/>
      <c r="F99" s="121"/>
      <c r="G99" s="113"/>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471" t="e">
        <f>IF(INDEX(TARIFF_TABLE[#All], MATCH($B99,TARIFF_TABLE[[#All],[Activity]],0),MATCH("ActivityType",TARIFF_TABLE[#Headers]))="Investigation",INDEX(TARIFF_TABLE[#All], MATCH($B99,TARIFF_TABLE[[#All],[Activity]],0),MATCH("Cost",TARIFF_TABLE[#Headers])),INDEX(Staff_Costs[#All],MATCH('Standard of Care'!D99,Staff_Costs[[#All],[Role]],0),MATCH("Per-minute cost",Staff_Costs[#Headers],0))*'Standard of Care'!C99)</f>
        <v>#N/A</v>
      </c>
      <c r="AJ99" s="475" t="e">
        <f t="shared" si="1"/>
        <v>#N/A</v>
      </c>
      <c r="AK99" s="472" t="e">
        <f>INDEX('Tariff (hidden)'!$B$4:$B$133,MATCH(B99,'Tariff (hidden)'!$A$4:$A$133,0))</f>
        <v>#N/A</v>
      </c>
      <c r="AO99" s="576" t="e">
        <f t="shared" si="2"/>
        <v>#N/A</v>
      </c>
    </row>
    <row r="100" spans="1:41" x14ac:dyDescent="0.25">
      <c r="A100" s="120"/>
      <c r="B100" s="118"/>
      <c r="C100" s="112"/>
      <c r="D100" s="118"/>
      <c r="E100" s="575"/>
      <c r="F100" s="121"/>
      <c r="G100" s="113"/>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471" t="e">
        <f>IF(INDEX(TARIFF_TABLE[#All], MATCH($B100,TARIFF_TABLE[[#All],[Activity]],0),MATCH("ActivityType",TARIFF_TABLE[#Headers]))="Investigation",INDEX(TARIFF_TABLE[#All], MATCH($B100,TARIFF_TABLE[[#All],[Activity]],0),MATCH("Cost",TARIFF_TABLE[#Headers])),INDEX(Staff_Costs[#All],MATCH('Standard of Care'!D100,Staff_Costs[[#All],[Role]],0),MATCH("Per-minute cost",Staff_Costs[#Headers],0))*'Standard of Care'!C100)</f>
        <v>#N/A</v>
      </c>
      <c r="AJ100" s="475" t="e">
        <f t="shared" si="1"/>
        <v>#N/A</v>
      </c>
      <c r="AK100" s="472" t="e">
        <f>INDEX('Tariff (hidden)'!$B$4:$B$133,MATCH(B100,'Tariff (hidden)'!$A$4:$A$133,0))</f>
        <v>#N/A</v>
      </c>
      <c r="AO100" s="576" t="e">
        <f t="shared" si="2"/>
        <v>#N/A</v>
      </c>
    </row>
    <row r="101" spans="1:41" x14ac:dyDescent="0.25">
      <c r="A101" s="120"/>
      <c r="B101" s="118"/>
      <c r="C101" s="112"/>
      <c r="D101" s="118"/>
      <c r="E101" s="575"/>
      <c r="F101" s="121"/>
      <c r="G101" s="113"/>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471" t="e">
        <f>IF(INDEX(TARIFF_TABLE[#All], MATCH($B101,TARIFF_TABLE[[#All],[Activity]],0),MATCH("ActivityType",TARIFF_TABLE[#Headers]))="Investigation",INDEX(TARIFF_TABLE[#All], MATCH($B101,TARIFF_TABLE[[#All],[Activity]],0),MATCH("Cost",TARIFF_TABLE[#Headers])),INDEX(Staff_Costs[#All],MATCH('Standard of Care'!D101,Staff_Costs[[#All],[Role]],0),MATCH("Per-minute cost",Staff_Costs[#Headers],0))*'Standard of Care'!C101)</f>
        <v>#N/A</v>
      </c>
      <c r="AJ101" s="475" t="e">
        <f t="shared" si="1"/>
        <v>#N/A</v>
      </c>
      <c r="AK101" s="472" t="e">
        <f>INDEX('Tariff (hidden)'!$B$4:$B$133,MATCH(B101,'Tariff (hidden)'!$A$4:$A$133,0))</f>
        <v>#N/A</v>
      </c>
      <c r="AO101" s="576" t="e">
        <f t="shared" si="2"/>
        <v>#N/A</v>
      </c>
    </row>
    <row r="102" spans="1:41" x14ac:dyDescent="0.25">
      <c r="A102" s="120"/>
      <c r="B102" s="118"/>
      <c r="C102" s="112"/>
      <c r="D102" s="118"/>
      <c r="E102" s="575"/>
      <c r="F102" s="121"/>
      <c r="G102" s="113"/>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471" t="e">
        <f>IF(INDEX(TARIFF_TABLE[#All], MATCH($B102,TARIFF_TABLE[[#All],[Activity]],0),MATCH("ActivityType",TARIFF_TABLE[#Headers]))="Investigation",INDEX(TARIFF_TABLE[#All], MATCH($B102,TARIFF_TABLE[[#All],[Activity]],0),MATCH("Cost",TARIFF_TABLE[#Headers])),INDEX(Staff_Costs[#All],MATCH('Standard of Care'!D102,Staff_Costs[[#All],[Role]],0),MATCH("Per-minute cost",Staff_Costs[#Headers],0))*'Standard of Care'!C102)</f>
        <v>#N/A</v>
      </c>
      <c r="AJ102" s="475" t="e">
        <f t="shared" si="1"/>
        <v>#N/A</v>
      </c>
      <c r="AK102" s="472" t="e">
        <f>INDEX('Tariff (hidden)'!$B$4:$B$133,MATCH(B102,'Tariff (hidden)'!$A$4:$A$133,0))</f>
        <v>#N/A</v>
      </c>
      <c r="AO102" s="576" t="e">
        <f t="shared" si="2"/>
        <v>#N/A</v>
      </c>
    </row>
    <row r="103" spans="1:41" x14ac:dyDescent="0.25">
      <c r="A103" s="120"/>
      <c r="B103" s="118"/>
      <c r="C103" s="112"/>
      <c r="D103" s="118"/>
      <c r="E103" s="575"/>
      <c r="F103" s="121"/>
      <c r="G103" s="113"/>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471" t="e">
        <f>IF(INDEX(TARIFF_TABLE[#All], MATCH($B103,TARIFF_TABLE[[#All],[Activity]],0),MATCH("ActivityType",TARIFF_TABLE[#Headers]))="Investigation",INDEX(TARIFF_TABLE[#All], MATCH($B103,TARIFF_TABLE[[#All],[Activity]],0),MATCH("Cost",TARIFF_TABLE[#Headers])),INDEX(Staff_Costs[#All],MATCH('Standard of Care'!D103,Staff_Costs[[#All],[Role]],0),MATCH("Per-minute cost",Staff_Costs[#Headers],0))*'Standard of Care'!C103)</f>
        <v>#N/A</v>
      </c>
      <c r="AJ103" s="475" t="e">
        <f t="shared" si="1"/>
        <v>#N/A</v>
      </c>
      <c r="AK103" s="472" t="e">
        <f>INDEX('Tariff (hidden)'!$B$4:$B$133,MATCH(B103,'Tariff (hidden)'!$A$4:$A$133,0))</f>
        <v>#N/A</v>
      </c>
      <c r="AO103" s="576" t="e">
        <f t="shared" si="2"/>
        <v>#N/A</v>
      </c>
    </row>
    <row r="104" spans="1:41" x14ac:dyDescent="0.25">
      <c r="A104" s="120"/>
      <c r="B104" s="118"/>
      <c r="C104" s="112"/>
      <c r="D104" s="118"/>
      <c r="E104" s="575"/>
      <c r="F104" s="121"/>
      <c r="G104" s="113"/>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471" t="e">
        <f>IF(INDEX(TARIFF_TABLE[#All], MATCH($B104,TARIFF_TABLE[[#All],[Activity]],0),MATCH("ActivityType",TARIFF_TABLE[#Headers]))="Investigation",INDEX(TARIFF_TABLE[#All], MATCH($B104,TARIFF_TABLE[[#All],[Activity]],0),MATCH("Cost",TARIFF_TABLE[#Headers])),INDEX(Staff_Costs[#All],MATCH('Standard of Care'!D104,Staff_Costs[[#All],[Role]],0),MATCH("Per-minute cost",Staff_Costs[#Headers],0))*'Standard of Care'!C104)</f>
        <v>#N/A</v>
      </c>
      <c r="AJ104" s="475" t="e">
        <f t="shared" si="1"/>
        <v>#N/A</v>
      </c>
      <c r="AK104" s="472" t="e">
        <f>INDEX('Tariff (hidden)'!$B$4:$B$133,MATCH(B104,'Tariff (hidden)'!$A$4:$A$133,0))</f>
        <v>#N/A</v>
      </c>
      <c r="AO104" s="576" t="e">
        <f t="shared" si="2"/>
        <v>#N/A</v>
      </c>
    </row>
    <row r="105" spans="1:41" x14ac:dyDescent="0.25">
      <c r="A105" s="120"/>
      <c r="B105" s="118"/>
      <c r="C105" s="112"/>
      <c r="D105" s="118"/>
      <c r="E105" s="575"/>
      <c r="F105" s="121"/>
      <c r="G105" s="113"/>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471" t="e">
        <f>IF(INDEX(TARIFF_TABLE[#All], MATCH($B105,TARIFF_TABLE[[#All],[Activity]],0),MATCH("ActivityType",TARIFF_TABLE[#Headers]))="Investigation",INDEX(TARIFF_TABLE[#All], MATCH($B105,TARIFF_TABLE[[#All],[Activity]],0),MATCH("Cost",TARIFF_TABLE[#Headers])),INDEX(Staff_Costs[#All],MATCH('Standard of Care'!D105,Staff_Costs[[#All],[Role]],0),MATCH("Per-minute cost",Staff_Costs[#Headers],0))*'Standard of Care'!C105)</f>
        <v>#N/A</v>
      </c>
      <c r="AJ105" s="475" t="e">
        <f t="shared" si="1"/>
        <v>#N/A</v>
      </c>
      <c r="AK105" s="472" t="e">
        <f>INDEX('Tariff (hidden)'!$B$4:$B$133,MATCH(B105,'Tariff (hidden)'!$A$4:$A$133,0))</f>
        <v>#N/A</v>
      </c>
      <c r="AO105" s="576" t="e">
        <f t="shared" si="2"/>
        <v>#N/A</v>
      </c>
    </row>
    <row r="106" spans="1:41" x14ac:dyDescent="0.25">
      <c r="A106" s="120"/>
      <c r="B106" s="118"/>
      <c r="C106" s="112"/>
      <c r="D106" s="118"/>
      <c r="E106" s="575"/>
      <c r="F106" s="121"/>
      <c r="G106" s="113"/>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471" t="e">
        <f>IF(INDEX(TARIFF_TABLE[#All], MATCH($B106,TARIFF_TABLE[[#All],[Activity]],0),MATCH("ActivityType",TARIFF_TABLE[#Headers]))="Investigation",INDEX(TARIFF_TABLE[#All], MATCH($B106,TARIFF_TABLE[[#All],[Activity]],0),MATCH("Cost",TARIFF_TABLE[#Headers])),INDEX(Staff_Costs[#All],MATCH('Standard of Care'!D106,Staff_Costs[[#All],[Role]],0),MATCH("Per-minute cost",Staff_Costs[#Headers],0))*'Standard of Care'!C106)</f>
        <v>#N/A</v>
      </c>
      <c r="AJ106" s="475" t="e">
        <f t="shared" si="1"/>
        <v>#N/A</v>
      </c>
      <c r="AK106" s="472" t="e">
        <f>INDEX('Tariff (hidden)'!$B$4:$B$133,MATCH(B106,'Tariff (hidden)'!$A$4:$A$133,0))</f>
        <v>#N/A</v>
      </c>
      <c r="AO106" s="576" t="e">
        <f t="shared" si="2"/>
        <v>#N/A</v>
      </c>
    </row>
    <row r="107" spans="1:41" x14ac:dyDescent="0.25">
      <c r="A107" s="120"/>
      <c r="B107" s="118"/>
      <c r="C107" s="112"/>
      <c r="D107" s="118"/>
      <c r="E107" s="575"/>
      <c r="F107" s="121"/>
      <c r="G107" s="113"/>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471" t="e">
        <f>IF(INDEX(TARIFF_TABLE[#All], MATCH($B107,TARIFF_TABLE[[#All],[Activity]],0),MATCH("ActivityType",TARIFF_TABLE[#Headers]))="Investigation",INDEX(TARIFF_TABLE[#All], MATCH($B107,TARIFF_TABLE[[#All],[Activity]],0),MATCH("Cost",TARIFF_TABLE[#Headers])),INDEX(Staff_Costs[#All],MATCH('Standard of Care'!D107,Staff_Costs[[#All],[Role]],0),MATCH("Per-minute cost",Staff_Costs[#Headers],0))*'Standard of Care'!C107)</f>
        <v>#N/A</v>
      </c>
      <c r="AJ107" s="475" t="e">
        <f t="shared" si="1"/>
        <v>#N/A</v>
      </c>
      <c r="AK107" s="472" t="e">
        <f>INDEX('Tariff (hidden)'!$B$4:$B$133,MATCH(B107,'Tariff (hidden)'!$A$4:$A$133,0))</f>
        <v>#N/A</v>
      </c>
      <c r="AO107" s="576" t="e">
        <f t="shared" si="2"/>
        <v>#N/A</v>
      </c>
    </row>
    <row r="108" spans="1:41" x14ac:dyDescent="0.25">
      <c r="A108" s="120"/>
      <c r="B108" s="118"/>
      <c r="C108" s="112"/>
      <c r="D108" s="118"/>
      <c r="E108" s="575"/>
      <c r="F108" s="121"/>
      <c r="G108" s="113"/>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471" t="e">
        <f>IF(INDEX(TARIFF_TABLE[#All], MATCH($B108,TARIFF_TABLE[[#All],[Activity]],0),MATCH("ActivityType",TARIFF_TABLE[#Headers]))="Investigation",INDEX(TARIFF_TABLE[#All], MATCH($B108,TARIFF_TABLE[[#All],[Activity]],0),MATCH("Cost",TARIFF_TABLE[#Headers])),INDEX(Staff_Costs[#All],MATCH('Standard of Care'!D108,Staff_Costs[[#All],[Role]],0),MATCH("Per-minute cost",Staff_Costs[#Headers],0))*'Standard of Care'!C108)</f>
        <v>#N/A</v>
      </c>
      <c r="AJ108" s="475" t="e">
        <f t="shared" si="1"/>
        <v>#N/A</v>
      </c>
      <c r="AK108" s="472" t="e">
        <f>INDEX('Tariff (hidden)'!$B$4:$B$133,MATCH(B108,'Tariff (hidden)'!$A$4:$A$133,0))</f>
        <v>#N/A</v>
      </c>
      <c r="AO108" s="576" t="e">
        <f t="shared" si="2"/>
        <v>#N/A</v>
      </c>
    </row>
    <row r="109" spans="1:41" x14ac:dyDescent="0.25">
      <c r="A109" s="120"/>
      <c r="B109" s="118"/>
      <c r="C109" s="112"/>
      <c r="D109" s="118"/>
      <c r="E109" s="575"/>
      <c r="F109" s="121"/>
      <c r="G109" s="113"/>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471" t="e">
        <f>IF(INDEX(TARIFF_TABLE[#All], MATCH($B109,TARIFF_TABLE[[#All],[Activity]],0),MATCH("ActivityType",TARIFF_TABLE[#Headers]))="Investigation",INDEX(TARIFF_TABLE[#All], MATCH($B109,TARIFF_TABLE[[#All],[Activity]],0),MATCH("Cost",TARIFF_TABLE[#Headers])),INDEX(Staff_Costs[#All],MATCH('Standard of Care'!D109,Staff_Costs[[#All],[Role]],0),MATCH("Per-minute cost",Staff_Costs[#Headers],0))*'Standard of Care'!C109)</f>
        <v>#N/A</v>
      </c>
      <c r="AJ109" s="475" t="e">
        <f t="shared" si="1"/>
        <v>#N/A</v>
      </c>
      <c r="AK109" s="472" t="e">
        <f>INDEX('Tariff (hidden)'!$B$4:$B$133,MATCH(B109,'Tariff (hidden)'!$A$4:$A$133,0))</f>
        <v>#N/A</v>
      </c>
      <c r="AO109" s="576" t="e">
        <f t="shared" si="2"/>
        <v>#N/A</v>
      </c>
    </row>
    <row r="110" spans="1:41" x14ac:dyDescent="0.25">
      <c r="A110" s="120"/>
      <c r="B110" s="118"/>
      <c r="C110" s="112"/>
      <c r="D110" s="118"/>
      <c r="E110" s="575"/>
      <c r="F110" s="121"/>
      <c r="G110" s="113"/>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471" t="e">
        <f>IF(INDEX(TARIFF_TABLE[#All], MATCH($B110,TARIFF_TABLE[[#All],[Activity]],0),MATCH("ActivityType",TARIFF_TABLE[#Headers]))="Investigation",INDEX(TARIFF_TABLE[#All], MATCH($B110,TARIFF_TABLE[[#All],[Activity]],0),MATCH("Cost",TARIFF_TABLE[#Headers])),INDEX(Staff_Costs[#All],MATCH('Standard of Care'!D110,Staff_Costs[[#All],[Role]],0),MATCH("Per-minute cost",Staff_Costs[#Headers],0))*'Standard of Care'!C110)</f>
        <v>#N/A</v>
      </c>
      <c r="AJ110" s="475" t="e">
        <f t="shared" si="1"/>
        <v>#N/A</v>
      </c>
      <c r="AK110" s="472" t="e">
        <f>INDEX('Tariff (hidden)'!$B$4:$B$133,MATCH(B110,'Tariff (hidden)'!$A$4:$A$133,0))</f>
        <v>#N/A</v>
      </c>
      <c r="AO110" s="576" t="e">
        <f t="shared" si="2"/>
        <v>#N/A</v>
      </c>
    </row>
    <row r="111" spans="1:41" x14ac:dyDescent="0.25">
      <c r="A111" s="120"/>
      <c r="B111" s="118"/>
      <c r="C111" s="112"/>
      <c r="D111" s="118"/>
      <c r="E111" s="575"/>
      <c r="F111" s="121"/>
      <c r="G111" s="113"/>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15"/>
      <c r="AI111" s="471" t="e">
        <f>IF(INDEX(TARIFF_TABLE[#All], MATCH($B111,TARIFF_TABLE[[#All],[Activity]],0),MATCH("ActivityType",TARIFF_TABLE[#Headers]))="Investigation",INDEX(TARIFF_TABLE[#All], MATCH($B111,TARIFF_TABLE[[#All],[Activity]],0),MATCH("Cost",TARIFF_TABLE[#Headers])),INDEX(Staff_Costs[#All],MATCH('Standard of Care'!D111,Staff_Costs[[#All],[Role]],0),MATCH("Per-minute cost",Staff_Costs[#Headers],0))*'Standard of Care'!C111)</f>
        <v>#N/A</v>
      </c>
      <c r="AJ111" s="475" t="e">
        <f t="shared" si="1"/>
        <v>#N/A</v>
      </c>
      <c r="AK111" s="472" t="e">
        <f>INDEX('Tariff (hidden)'!$B$4:$B$133,MATCH(B111,'Tariff (hidden)'!$A$4:$A$133,0))</f>
        <v>#N/A</v>
      </c>
      <c r="AO111" s="576" t="e">
        <f t="shared" si="2"/>
        <v>#N/A</v>
      </c>
    </row>
    <row r="112" spans="1:41" x14ac:dyDescent="0.25">
      <c r="A112" s="120"/>
      <c r="B112" s="118"/>
      <c r="C112" s="112"/>
      <c r="D112" s="118"/>
      <c r="E112" s="575"/>
      <c r="F112" s="121"/>
      <c r="G112" s="113"/>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15"/>
      <c r="AI112" s="471" t="e">
        <f>IF(INDEX(TARIFF_TABLE[#All], MATCH($B112,TARIFF_TABLE[[#All],[Activity]],0),MATCH("ActivityType",TARIFF_TABLE[#Headers]))="Investigation",INDEX(TARIFF_TABLE[#All], MATCH($B112,TARIFF_TABLE[[#All],[Activity]],0),MATCH("Cost",TARIFF_TABLE[#Headers])),INDEX(Staff_Costs[#All],MATCH('Standard of Care'!D112,Staff_Costs[[#All],[Role]],0),MATCH("Per-minute cost",Staff_Costs[#Headers],0))*'Standard of Care'!C112)</f>
        <v>#N/A</v>
      </c>
      <c r="AJ112" s="475" t="e">
        <f t="shared" si="1"/>
        <v>#N/A</v>
      </c>
      <c r="AK112" s="472" t="e">
        <f>INDEX('Tariff (hidden)'!$B$4:$B$133,MATCH(B112,'Tariff (hidden)'!$A$4:$A$133,0))</f>
        <v>#N/A</v>
      </c>
      <c r="AO112" s="576" t="e">
        <f t="shared" si="2"/>
        <v>#N/A</v>
      </c>
    </row>
    <row r="113" spans="1:41" x14ac:dyDescent="0.25">
      <c r="A113" s="120"/>
      <c r="B113" s="118"/>
      <c r="C113" s="112"/>
      <c r="D113" s="118"/>
      <c r="E113" s="575"/>
      <c r="F113" s="121"/>
      <c r="G113" s="113"/>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15"/>
      <c r="AI113" s="471" t="e">
        <f>IF(INDEX(TARIFF_TABLE[#All], MATCH($B113,TARIFF_TABLE[[#All],[Activity]],0),MATCH("ActivityType",TARIFF_TABLE[#Headers]))="Investigation",INDEX(TARIFF_TABLE[#All], MATCH($B113,TARIFF_TABLE[[#All],[Activity]],0),MATCH("Cost",TARIFF_TABLE[#Headers])),INDEX(Staff_Costs[#All],MATCH('Standard of Care'!D113,Staff_Costs[[#All],[Role]],0),MATCH("Per-minute cost",Staff_Costs[#Headers],0))*'Standard of Care'!C113)</f>
        <v>#N/A</v>
      </c>
      <c r="AJ113" s="475" t="e">
        <f t="shared" si="1"/>
        <v>#N/A</v>
      </c>
      <c r="AK113" s="472" t="e">
        <f>INDEX('Tariff (hidden)'!$B$4:$B$133,MATCH(B113,'Tariff (hidden)'!$A$4:$A$133,0))</f>
        <v>#N/A</v>
      </c>
      <c r="AO113" s="576" t="e">
        <f t="shared" si="2"/>
        <v>#N/A</v>
      </c>
    </row>
    <row r="114" spans="1:41" x14ac:dyDescent="0.25">
      <c r="A114" s="120"/>
      <c r="B114" s="118"/>
      <c r="C114" s="112"/>
      <c r="D114" s="118"/>
      <c r="E114" s="575"/>
      <c r="F114" s="121"/>
      <c r="G114" s="113"/>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15"/>
      <c r="AI114" s="471" t="e">
        <f>IF(INDEX(TARIFF_TABLE[#All], MATCH($B114,TARIFF_TABLE[[#All],[Activity]],0),MATCH("ActivityType",TARIFF_TABLE[#Headers]))="Investigation",INDEX(TARIFF_TABLE[#All], MATCH($B114,TARIFF_TABLE[[#All],[Activity]],0),MATCH("Cost",TARIFF_TABLE[#Headers])),INDEX(Staff_Costs[#All],MATCH('Standard of Care'!D114,Staff_Costs[[#All],[Role]],0),MATCH("Per-minute cost",Staff_Costs[#Headers],0))*'Standard of Care'!C114)</f>
        <v>#N/A</v>
      </c>
      <c r="AJ114" s="475" t="e">
        <f t="shared" si="1"/>
        <v>#N/A</v>
      </c>
      <c r="AK114" s="473" t="e">
        <f>INDEX('Tariff (hidden)'!$B$4:$B$133,MATCH(B114,'Tariff (hidden)'!$A$4:$A$133,0))</f>
        <v>#N/A</v>
      </c>
      <c r="AO114" s="576" t="e">
        <f t="shared" si="2"/>
        <v>#N/A</v>
      </c>
    </row>
    <row r="115" spans="1:41" x14ac:dyDescent="0.25">
      <c r="AO115" s="576"/>
    </row>
  </sheetData>
  <sheetProtection algorithmName="SHA-512" hashValue="MOinmGCo7NqqNnDMoevJxocjT7VppsRcY0e9QURNmaRBeXjhEsO6aR8ri7208bawwm/aDx7M5N/Jj3pU9+UviQ==" saltValue="eBqlEzYrKalHaSpFp4wwDA==" spinCount="100000" sheet="1" objects="1" scenarios="1" insertColumns="0"/>
  <mergeCells count="7">
    <mergeCell ref="H8:I8"/>
    <mergeCell ref="H9:I9"/>
    <mergeCell ref="H2:J2"/>
    <mergeCell ref="H3:I3"/>
    <mergeCell ref="H5:I5"/>
    <mergeCell ref="H6:I6"/>
    <mergeCell ref="H7:I7"/>
  </mergeCells>
  <conditionalFormatting sqref="C16:C70">
    <cfRule type="expression" dxfId="805" priority="2">
      <formula>IF($AO16="investigation",TRUE,FALSE)</formula>
    </cfRule>
  </conditionalFormatting>
  <conditionalFormatting sqref="C71:C114">
    <cfRule type="expression" dxfId="804" priority="1">
      <formula>IF($AO71="investigation",TRUE,FALSE)</formula>
    </cfRule>
  </conditionalFormatting>
  <dataValidations xWindow="431" yWindow="561" count="6">
    <dataValidation type="list" allowBlank="1" showInputMessage="1" showErrorMessage="1" errorTitle="Drop Down" error="Please select item from drop down list." promptTitle="Selecting Area of Activity" prompt="Use the drop-down list to select the correct area of activity. _x000a_" sqref="A16:A114">
      <formula1>Area_of_Activity_for_each_participant</formula1>
    </dataValidation>
    <dataValidation type="list" allowBlank="1" showInputMessage="1" showErrorMessage="1" errorTitle="Please select items" error="Plese select items from drop down list" promptTitle="Selecting Specific Activities" prompt="Use the drop-dow list to select the specific activity. _x000a__x000a_The List does not appear until Area of Activitiy is selected._x000a__x000a_If the activity is not in the list follow the guidance to add a new activity. DO NOT ENTER FREE TEXT." sqref="B16:B114">
      <formula1>INDIRECT(SUBSTITUTE($A16," ","_"))</formula1>
    </dataValidation>
    <dataValidation type="whole" allowBlank="1" showInputMessage="1" showErrorMessage="1" errorTitle="Duration in minutes" error="This field only accepts numeric input." sqref="C16:C114">
      <formula1>0</formula1>
      <formula2>100000</formula2>
    </dataValidation>
    <dataValidation type="list" allowBlank="1" showInputMessage="1" showErrorMessage="1" error="Please select option from drop down menu." prompt="Please use the drop-down to select the role responsible.. " sqref="D16:D114">
      <formula1>UNDERTAKEN_BY</formula1>
    </dataValidation>
    <dataValidation allowBlank="1" error="Please select option from drop down menu." prompt="Please use the drop-down to select the role responsible.. " sqref="E16:E114"/>
    <dataValidation type="list" allowBlank="1" showInputMessage="1" showErrorMessage="1" error="Please use 'x' to indicate inclusion in the Standard of Care." prompt="Type 'x' or enter using the drop-down menu." sqref="F16:AG114">
      <formula1>Inc_Std_Care</formula1>
    </dataValidation>
  </dataValidations>
  <pageMargins left="0.51181102362204722" right="0.51181102362204722" top="0.74803149606299213" bottom="0.74803149606299213" header="0.31496062992125984" footer="0.31496062992125984"/>
  <pageSetup paperSize="9" scale="22" fitToWidth="0" orientation="landscape" r:id="rId1"/>
  <colBreaks count="1" manualBreakCount="1">
    <brk id="21" max="1048575" man="1"/>
  </colBreaks>
  <ignoredErrors>
    <ignoredError sqref="AJ69:AJ70 AJ16:AJ68" calculatedColumn="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0" tint="-0.14999847407452621"/>
    <pageSetUpPr fitToPage="1"/>
  </sheetPr>
  <dimension ref="A5:C211"/>
  <sheetViews>
    <sheetView showGridLines="0" topLeftCell="A192" zoomScaleNormal="100" workbookViewId="0">
      <selection activeCell="A200" sqref="A200"/>
    </sheetView>
  </sheetViews>
  <sheetFormatPr defaultColWidth="9.140625" defaultRowHeight="14.25" x14ac:dyDescent="0.2"/>
  <cols>
    <col min="1" max="1" width="26" style="22" customWidth="1"/>
    <col min="2" max="2" width="89.140625" style="22" customWidth="1"/>
    <col min="3" max="3" width="129.42578125" style="23" customWidth="1"/>
    <col min="4" max="16384" width="9.140625" style="23"/>
  </cols>
  <sheetData>
    <row r="5" spans="1:3" s="92" customFormat="1" ht="15" customHeight="1" x14ac:dyDescent="0.2">
      <c r="A5" s="26"/>
      <c r="B5" s="91"/>
    </row>
    <row r="6" spans="1:3" s="92" customFormat="1" ht="15" x14ac:dyDescent="0.2">
      <c r="A6" s="457" t="s">
        <v>523</v>
      </c>
      <c r="B6" s="25"/>
      <c r="C6" s="25"/>
    </row>
    <row r="7" spans="1:3" s="92" customFormat="1" ht="15.75" thickBot="1" x14ac:dyDescent="0.25">
      <c r="A7" s="456" t="s">
        <v>141</v>
      </c>
      <c r="B7" s="456" t="s">
        <v>142</v>
      </c>
      <c r="C7" s="456" t="s">
        <v>157</v>
      </c>
    </row>
    <row r="8" spans="1:3" s="92" customFormat="1" x14ac:dyDescent="0.2">
      <c r="A8" s="615" t="s">
        <v>508</v>
      </c>
      <c r="B8" s="409" t="s">
        <v>139</v>
      </c>
      <c r="C8" s="399"/>
    </row>
    <row r="9" spans="1:3" s="92" customFormat="1" x14ac:dyDescent="0.2">
      <c r="A9" s="616"/>
      <c r="B9" s="410" t="s">
        <v>140</v>
      </c>
      <c r="C9" s="400"/>
    </row>
    <row r="10" spans="1:3" s="92" customFormat="1" ht="15" thickBot="1" x14ac:dyDescent="0.25">
      <c r="A10" s="617"/>
      <c r="B10" s="411" t="s">
        <v>190</v>
      </c>
      <c r="C10" s="401"/>
    </row>
    <row r="11" spans="1:3" s="92" customFormat="1" x14ac:dyDescent="0.2">
      <c r="A11" s="615" t="s">
        <v>160</v>
      </c>
      <c r="B11" s="412" t="s">
        <v>100</v>
      </c>
      <c r="C11" s="402"/>
    </row>
    <row r="12" spans="1:3" s="92" customFormat="1" ht="15" thickBot="1" x14ac:dyDescent="0.25">
      <c r="A12" s="616"/>
      <c r="B12" s="413" t="s">
        <v>99</v>
      </c>
      <c r="C12" s="403"/>
    </row>
    <row r="13" spans="1:3" s="92" customFormat="1" ht="15" x14ac:dyDescent="0.2">
      <c r="A13" s="382" t="s">
        <v>494</v>
      </c>
      <c r="B13" s="414" t="s">
        <v>179</v>
      </c>
      <c r="C13" s="402"/>
    </row>
    <row r="14" spans="1:3" s="92" customFormat="1" ht="15" x14ac:dyDescent="0.2">
      <c r="A14" s="385"/>
      <c r="B14" s="415" t="s">
        <v>181</v>
      </c>
      <c r="C14" s="403"/>
    </row>
    <row r="15" spans="1:3" s="92" customFormat="1" ht="28.5" x14ac:dyDescent="0.2">
      <c r="A15" s="385"/>
      <c r="B15" s="415" t="s">
        <v>389</v>
      </c>
      <c r="C15" s="403"/>
    </row>
    <row r="16" spans="1:3" s="92" customFormat="1" ht="29.25" thickBot="1" x14ac:dyDescent="0.25">
      <c r="A16" s="404"/>
      <c r="B16" s="416" t="s">
        <v>180</v>
      </c>
      <c r="C16" s="373" t="s">
        <v>493</v>
      </c>
    </row>
    <row r="17" spans="1:3" s="92" customFormat="1" ht="15" x14ac:dyDescent="0.2">
      <c r="A17" s="405" t="s">
        <v>143</v>
      </c>
      <c r="B17" s="417" t="s">
        <v>97</v>
      </c>
      <c r="C17" s="402"/>
    </row>
    <row r="18" spans="1:3" s="92" customFormat="1" ht="15" x14ac:dyDescent="0.2">
      <c r="A18" s="406"/>
      <c r="B18" s="418" t="s">
        <v>98</v>
      </c>
      <c r="C18" s="403"/>
    </row>
    <row r="19" spans="1:3" s="92" customFormat="1" ht="15" x14ac:dyDescent="0.2">
      <c r="A19" s="406"/>
      <c r="B19" s="418" t="s">
        <v>96</v>
      </c>
      <c r="C19" s="403"/>
    </row>
    <row r="20" spans="1:3" s="92" customFormat="1" ht="29.25" thickBot="1" x14ac:dyDescent="0.25">
      <c r="A20" s="407"/>
      <c r="B20" s="419" t="s">
        <v>522</v>
      </c>
      <c r="C20" s="373" t="s">
        <v>521</v>
      </c>
    </row>
    <row r="21" spans="1:3" s="92" customFormat="1" ht="15" x14ac:dyDescent="0.25">
      <c r="A21" s="408" t="s">
        <v>161</v>
      </c>
      <c r="B21" s="420" t="s">
        <v>345</v>
      </c>
      <c r="C21" s="402"/>
    </row>
    <row r="22" spans="1:3" s="92" customFormat="1" ht="15" x14ac:dyDescent="0.25">
      <c r="A22" s="205"/>
      <c r="B22" s="93"/>
      <c r="C22" s="93"/>
    </row>
    <row r="23" spans="1:3" s="92" customFormat="1" ht="15" x14ac:dyDescent="0.2">
      <c r="A23" s="457" t="s">
        <v>144</v>
      </c>
      <c r="B23" s="93"/>
      <c r="C23" s="93"/>
    </row>
    <row r="24" spans="1:3" s="92" customFormat="1" ht="15.75" thickBot="1" x14ac:dyDescent="0.25">
      <c r="A24" s="456" t="s">
        <v>141</v>
      </c>
      <c r="B24" s="456" t="s">
        <v>142</v>
      </c>
      <c r="C24" s="456" t="s">
        <v>157</v>
      </c>
    </row>
    <row r="25" spans="1:3" s="92" customFormat="1" ht="30" x14ac:dyDescent="0.2">
      <c r="A25" s="382" t="s">
        <v>162</v>
      </c>
      <c r="B25" s="387" t="s">
        <v>30</v>
      </c>
      <c r="C25" s="368" t="s">
        <v>362</v>
      </c>
    </row>
    <row r="26" spans="1:3" s="92" customFormat="1" ht="171.75" thickBot="1" x14ac:dyDescent="0.25">
      <c r="A26" s="383"/>
      <c r="B26" s="388" t="s">
        <v>256</v>
      </c>
      <c r="C26" s="369" t="s">
        <v>361</v>
      </c>
    </row>
    <row r="27" spans="1:3" s="92" customFormat="1" ht="30" x14ac:dyDescent="0.2">
      <c r="A27" s="382" t="s">
        <v>145</v>
      </c>
      <c r="B27" s="389" t="s">
        <v>258</v>
      </c>
      <c r="C27" s="370" t="s">
        <v>417</v>
      </c>
    </row>
    <row r="28" spans="1:3" s="92" customFormat="1" ht="15" x14ac:dyDescent="0.2">
      <c r="A28" s="384"/>
      <c r="B28" s="390" t="s">
        <v>259</v>
      </c>
      <c r="C28" s="371" t="s">
        <v>418</v>
      </c>
    </row>
    <row r="29" spans="1:3" s="92" customFormat="1" ht="15" x14ac:dyDescent="0.2">
      <c r="A29" s="384"/>
      <c r="B29" s="390" t="s">
        <v>260</v>
      </c>
      <c r="C29" s="371"/>
    </row>
    <row r="30" spans="1:3" s="92" customFormat="1" ht="28.5" x14ac:dyDescent="0.2">
      <c r="A30" s="384"/>
      <c r="B30" s="390" t="s">
        <v>261</v>
      </c>
      <c r="C30" s="371" t="s">
        <v>419</v>
      </c>
    </row>
    <row r="31" spans="1:3" s="92" customFormat="1" ht="42.75" x14ac:dyDescent="0.2">
      <c r="A31" s="384"/>
      <c r="B31" s="390" t="s">
        <v>262</v>
      </c>
      <c r="C31" s="371" t="s">
        <v>420</v>
      </c>
    </row>
    <row r="32" spans="1:3" s="92" customFormat="1" ht="15" x14ac:dyDescent="0.2">
      <c r="A32" s="384"/>
      <c r="B32" s="390" t="s">
        <v>263</v>
      </c>
      <c r="C32" s="371"/>
    </row>
    <row r="33" spans="1:3" s="92" customFormat="1" ht="15" x14ac:dyDescent="0.2">
      <c r="A33" s="384"/>
      <c r="B33" s="390" t="s">
        <v>264</v>
      </c>
      <c r="C33" s="371"/>
    </row>
    <row r="34" spans="1:3" s="92" customFormat="1" ht="15" x14ac:dyDescent="0.2">
      <c r="A34" s="384"/>
      <c r="B34" s="390" t="s">
        <v>265</v>
      </c>
      <c r="C34" s="371" t="s">
        <v>418</v>
      </c>
    </row>
    <row r="35" spans="1:3" s="92" customFormat="1" ht="28.5" x14ac:dyDescent="0.2">
      <c r="A35" s="384"/>
      <c r="B35" s="390" t="s">
        <v>61</v>
      </c>
      <c r="C35" s="371" t="s">
        <v>421</v>
      </c>
    </row>
    <row r="36" spans="1:3" s="92" customFormat="1" ht="42.75" x14ac:dyDescent="0.2">
      <c r="A36" s="384"/>
      <c r="B36" s="390" t="s">
        <v>62</v>
      </c>
      <c r="C36" s="371" t="s">
        <v>422</v>
      </c>
    </row>
    <row r="37" spans="1:3" s="92" customFormat="1" ht="42.75" x14ac:dyDescent="0.2">
      <c r="A37" s="384"/>
      <c r="B37" s="390" t="s">
        <v>63</v>
      </c>
      <c r="C37" s="371" t="s">
        <v>423</v>
      </c>
    </row>
    <row r="38" spans="1:3" s="92" customFormat="1" ht="28.5" x14ac:dyDescent="0.2">
      <c r="A38" s="384"/>
      <c r="B38" s="390" t="s">
        <v>64</v>
      </c>
      <c r="C38" s="371" t="s">
        <v>424</v>
      </c>
    </row>
    <row r="39" spans="1:3" s="92" customFormat="1" ht="57" x14ac:dyDescent="0.2">
      <c r="A39" s="384"/>
      <c r="B39" s="390" t="s">
        <v>65</v>
      </c>
      <c r="C39" s="371" t="s">
        <v>425</v>
      </c>
    </row>
    <row r="40" spans="1:3" s="92" customFormat="1" ht="71.25" x14ac:dyDescent="0.2">
      <c r="A40" s="384"/>
      <c r="B40" s="390" t="s">
        <v>367</v>
      </c>
      <c r="C40" s="371" t="s">
        <v>429</v>
      </c>
    </row>
    <row r="41" spans="1:3" s="92" customFormat="1" ht="15" x14ac:dyDescent="0.2">
      <c r="A41" s="384"/>
      <c r="B41" s="390" t="s">
        <v>266</v>
      </c>
      <c r="C41" s="371" t="s">
        <v>430</v>
      </c>
    </row>
    <row r="42" spans="1:3" s="92" customFormat="1" ht="28.5" x14ac:dyDescent="0.2">
      <c r="A42" s="384"/>
      <c r="B42" s="390" t="s">
        <v>267</v>
      </c>
      <c r="C42" s="371" t="s">
        <v>431</v>
      </c>
    </row>
    <row r="43" spans="1:3" s="92" customFormat="1" ht="15" x14ac:dyDescent="0.2">
      <c r="A43" s="384"/>
      <c r="B43" s="390" t="s">
        <v>268</v>
      </c>
      <c r="C43" s="371" t="s">
        <v>418</v>
      </c>
    </row>
    <row r="44" spans="1:3" s="92" customFormat="1" ht="15" x14ac:dyDescent="0.2">
      <c r="A44" s="384"/>
      <c r="B44" s="390" t="s">
        <v>269</v>
      </c>
      <c r="C44" s="371" t="s">
        <v>418</v>
      </c>
    </row>
    <row r="45" spans="1:3" s="92" customFormat="1" ht="15" x14ac:dyDescent="0.2">
      <c r="A45" s="384"/>
      <c r="B45" s="390" t="s">
        <v>270</v>
      </c>
      <c r="C45" s="371" t="s">
        <v>418</v>
      </c>
    </row>
    <row r="46" spans="1:3" s="92" customFormat="1" ht="15" x14ac:dyDescent="0.2">
      <c r="A46" s="384"/>
      <c r="B46" s="390" t="s">
        <v>271</v>
      </c>
      <c r="C46" s="371" t="s">
        <v>432</v>
      </c>
    </row>
    <row r="47" spans="1:3" ht="15" x14ac:dyDescent="0.2">
      <c r="A47" s="384"/>
      <c r="B47" s="390" t="s">
        <v>272</v>
      </c>
      <c r="C47" s="371"/>
    </row>
    <row r="48" spans="1:3" ht="15" x14ac:dyDescent="0.2">
      <c r="A48" s="384"/>
      <c r="B48" s="390" t="s">
        <v>273</v>
      </c>
      <c r="C48" s="371"/>
    </row>
    <row r="49" spans="1:3" ht="15" x14ac:dyDescent="0.2">
      <c r="A49" s="384"/>
      <c r="B49" s="390" t="s">
        <v>274</v>
      </c>
      <c r="C49" s="371" t="s">
        <v>433</v>
      </c>
    </row>
    <row r="50" spans="1:3" ht="42.75" x14ac:dyDescent="0.2">
      <c r="A50" s="384"/>
      <c r="B50" s="390" t="s">
        <v>275</v>
      </c>
      <c r="C50" s="371" t="s">
        <v>435</v>
      </c>
    </row>
    <row r="51" spans="1:3" ht="15" x14ac:dyDescent="0.2">
      <c r="A51" s="384"/>
      <c r="B51" s="390" t="s">
        <v>276</v>
      </c>
      <c r="C51" s="371"/>
    </row>
    <row r="52" spans="1:3" ht="15" x14ac:dyDescent="0.2">
      <c r="A52" s="384"/>
      <c r="B52" s="390" t="s">
        <v>277</v>
      </c>
      <c r="C52" s="371" t="s">
        <v>418</v>
      </c>
    </row>
    <row r="53" spans="1:3" ht="15" x14ac:dyDescent="0.2">
      <c r="A53" s="384"/>
      <c r="B53" s="390" t="s">
        <v>278</v>
      </c>
      <c r="C53" s="371"/>
    </row>
    <row r="54" spans="1:3" ht="42.75" x14ac:dyDescent="0.2">
      <c r="A54" s="384"/>
      <c r="B54" s="390" t="s">
        <v>368</v>
      </c>
      <c r="C54" s="371" t="s">
        <v>436</v>
      </c>
    </row>
    <row r="55" spans="1:3" ht="15" x14ac:dyDescent="0.2">
      <c r="A55" s="384"/>
      <c r="B55" s="390" t="s">
        <v>279</v>
      </c>
      <c r="C55" s="371"/>
    </row>
    <row r="56" spans="1:3" ht="15" x14ac:dyDescent="0.2">
      <c r="A56" s="384"/>
      <c r="B56" s="390" t="s">
        <v>369</v>
      </c>
      <c r="C56" s="371"/>
    </row>
    <row r="57" spans="1:3" ht="28.5" x14ac:dyDescent="0.2">
      <c r="A57" s="384"/>
      <c r="B57" s="390" t="s">
        <v>280</v>
      </c>
      <c r="C57" s="371" t="s">
        <v>437</v>
      </c>
    </row>
    <row r="58" spans="1:3" ht="15" x14ac:dyDescent="0.2">
      <c r="A58" s="384"/>
      <c r="B58" s="390" t="s">
        <v>281</v>
      </c>
      <c r="C58" s="371" t="s">
        <v>418</v>
      </c>
    </row>
    <row r="59" spans="1:3" ht="28.5" x14ac:dyDescent="0.2">
      <c r="A59" s="384"/>
      <c r="B59" s="390" t="s">
        <v>282</v>
      </c>
      <c r="C59" s="371" t="s">
        <v>438</v>
      </c>
    </row>
    <row r="60" spans="1:3" ht="15" x14ac:dyDescent="0.2">
      <c r="A60" s="384"/>
      <c r="B60" s="390" t="s">
        <v>283</v>
      </c>
      <c r="C60" s="371" t="s">
        <v>439</v>
      </c>
    </row>
    <row r="61" spans="1:3" ht="15" x14ac:dyDescent="0.2">
      <c r="A61" s="384"/>
      <c r="B61" s="390" t="s">
        <v>285</v>
      </c>
      <c r="C61" s="371" t="s">
        <v>442</v>
      </c>
    </row>
    <row r="62" spans="1:3" ht="28.5" x14ac:dyDescent="0.2">
      <c r="A62" s="384"/>
      <c r="B62" s="390" t="s">
        <v>370</v>
      </c>
      <c r="C62" s="371" t="s">
        <v>444</v>
      </c>
    </row>
    <row r="63" spans="1:3" ht="15" x14ac:dyDescent="0.2">
      <c r="A63" s="384"/>
      <c r="B63" s="390" t="s">
        <v>286</v>
      </c>
      <c r="C63" s="371"/>
    </row>
    <row r="64" spans="1:3" ht="15" x14ac:dyDescent="0.2">
      <c r="A64" s="384"/>
      <c r="B64" s="390" t="s">
        <v>287</v>
      </c>
      <c r="C64" s="371"/>
    </row>
    <row r="65" spans="1:3" ht="57" x14ac:dyDescent="0.2">
      <c r="A65" s="384"/>
      <c r="B65" s="390" t="s">
        <v>371</v>
      </c>
      <c r="C65" s="371" t="s">
        <v>445</v>
      </c>
    </row>
    <row r="66" spans="1:3" ht="15" x14ac:dyDescent="0.2">
      <c r="A66" s="384"/>
      <c r="B66" s="390" t="s">
        <v>289</v>
      </c>
      <c r="C66" s="371" t="s">
        <v>447</v>
      </c>
    </row>
    <row r="67" spans="1:3" ht="15" x14ac:dyDescent="0.2">
      <c r="A67" s="384"/>
      <c r="B67" s="390" t="s">
        <v>290</v>
      </c>
      <c r="C67" s="371" t="s">
        <v>448</v>
      </c>
    </row>
    <row r="68" spans="1:3" ht="15" x14ac:dyDescent="0.2">
      <c r="A68" s="384"/>
      <c r="B68" s="390" t="s">
        <v>291</v>
      </c>
      <c r="C68" s="371" t="s">
        <v>449</v>
      </c>
    </row>
    <row r="69" spans="1:3" ht="57" x14ac:dyDescent="0.2">
      <c r="A69" s="384"/>
      <c r="B69" s="390" t="s">
        <v>288</v>
      </c>
      <c r="C69" s="371" t="s">
        <v>446</v>
      </c>
    </row>
    <row r="70" spans="1:3" ht="71.25" x14ac:dyDescent="0.2">
      <c r="A70" s="384"/>
      <c r="B70" s="390" t="s">
        <v>372</v>
      </c>
      <c r="C70" s="371" t="s">
        <v>450</v>
      </c>
    </row>
    <row r="71" spans="1:3" ht="15" x14ac:dyDescent="0.2">
      <c r="A71" s="384"/>
      <c r="B71" s="390" t="s">
        <v>373</v>
      </c>
      <c r="C71" s="371" t="s">
        <v>451</v>
      </c>
    </row>
    <row r="72" spans="1:3" ht="42.75" x14ac:dyDescent="0.2">
      <c r="A72" s="384"/>
      <c r="B72" s="390" t="s">
        <v>117</v>
      </c>
      <c r="C72" s="371" t="s">
        <v>452</v>
      </c>
    </row>
    <row r="73" spans="1:3" ht="15" x14ac:dyDescent="0.2">
      <c r="A73" s="384"/>
      <c r="B73" s="390" t="s">
        <v>116</v>
      </c>
      <c r="C73" s="371"/>
    </row>
    <row r="74" spans="1:3" ht="42.75" x14ac:dyDescent="0.2">
      <c r="A74" s="384"/>
      <c r="B74" s="390" t="s">
        <v>292</v>
      </c>
      <c r="C74" s="371" t="s">
        <v>453</v>
      </c>
    </row>
    <row r="75" spans="1:3" ht="15" x14ac:dyDescent="0.2">
      <c r="A75" s="384"/>
      <c r="B75" s="390" t="s">
        <v>297</v>
      </c>
      <c r="C75" s="371"/>
    </row>
    <row r="76" spans="1:3" ht="15" x14ac:dyDescent="0.2">
      <c r="A76" s="384"/>
      <c r="B76" s="390" t="s">
        <v>374</v>
      </c>
      <c r="C76" s="371"/>
    </row>
    <row r="77" spans="1:3" ht="42.75" x14ac:dyDescent="0.2">
      <c r="A77" s="384"/>
      <c r="B77" s="390" t="s">
        <v>293</v>
      </c>
      <c r="C77" s="371" t="s">
        <v>454</v>
      </c>
    </row>
    <row r="78" spans="1:3" ht="42.75" x14ac:dyDescent="0.2">
      <c r="A78" s="384"/>
      <c r="B78" s="390" t="s">
        <v>294</v>
      </c>
      <c r="C78" s="371" t="s">
        <v>454</v>
      </c>
    </row>
    <row r="79" spans="1:3" ht="71.25" x14ac:dyDescent="0.2">
      <c r="A79" s="384"/>
      <c r="B79" s="390" t="s">
        <v>295</v>
      </c>
      <c r="C79" s="371" t="s">
        <v>455</v>
      </c>
    </row>
    <row r="80" spans="1:3" ht="42.75" x14ac:dyDescent="0.2">
      <c r="A80" s="384"/>
      <c r="B80" s="390" t="s">
        <v>296</v>
      </c>
      <c r="C80" s="371" t="s">
        <v>454</v>
      </c>
    </row>
    <row r="81" spans="1:3" ht="42.75" x14ac:dyDescent="0.2">
      <c r="A81" s="384"/>
      <c r="B81" s="390" t="s">
        <v>375</v>
      </c>
      <c r="C81" s="371" t="s">
        <v>454</v>
      </c>
    </row>
    <row r="82" spans="1:3" ht="42.75" x14ac:dyDescent="0.2">
      <c r="A82" s="384"/>
      <c r="B82" s="390" t="s">
        <v>298</v>
      </c>
      <c r="C82" s="371" t="s">
        <v>456</v>
      </c>
    </row>
    <row r="83" spans="1:3" ht="15" x14ac:dyDescent="0.2">
      <c r="A83" s="384"/>
      <c r="B83" s="390" t="s">
        <v>299</v>
      </c>
      <c r="C83" s="371" t="s">
        <v>457</v>
      </c>
    </row>
    <row r="84" spans="1:3" ht="15" x14ac:dyDescent="0.2">
      <c r="A84" s="384"/>
      <c r="B84" s="390" t="s">
        <v>376</v>
      </c>
      <c r="C84" s="371" t="s">
        <v>458</v>
      </c>
    </row>
    <row r="85" spans="1:3" ht="15" x14ac:dyDescent="0.2">
      <c r="A85" s="384"/>
      <c r="B85" s="390" t="s">
        <v>300</v>
      </c>
      <c r="C85" s="371"/>
    </row>
    <row r="86" spans="1:3" ht="15" x14ac:dyDescent="0.2">
      <c r="A86" s="384"/>
      <c r="B86" s="390" t="s">
        <v>301</v>
      </c>
      <c r="C86" s="371"/>
    </row>
    <row r="87" spans="1:3" ht="28.5" x14ac:dyDescent="0.2">
      <c r="A87" s="384"/>
      <c r="B87" s="390" t="s">
        <v>302</v>
      </c>
      <c r="C87" s="371" t="s">
        <v>459</v>
      </c>
    </row>
    <row r="88" spans="1:3" ht="28.5" x14ac:dyDescent="0.2">
      <c r="A88" s="384"/>
      <c r="B88" s="390" t="s">
        <v>82</v>
      </c>
      <c r="C88" s="371" t="s">
        <v>460</v>
      </c>
    </row>
    <row r="89" spans="1:3" ht="15" x14ac:dyDescent="0.2">
      <c r="A89" s="384"/>
      <c r="B89" s="390" t="s">
        <v>303</v>
      </c>
      <c r="C89" s="371" t="s">
        <v>461</v>
      </c>
    </row>
    <row r="90" spans="1:3" ht="15" x14ac:dyDescent="0.2">
      <c r="A90" s="384"/>
      <c r="B90" s="390" t="s">
        <v>377</v>
      </c>
      <c r="C90" s="371"/>
    </row>
    <row r="91" spans="1:3" ht="15" x14ac:dyDescent="0.2">
      <c r="A91" s="384"/>
      <c r="B91" s="390" t="s">
        <v>83</v>
      </c>
      <c r="C91" s="371" t="s">
        <v>118</v>
      </c>
    </row>
    <row r="92" spans="1:3" ht="15" x14ac:dyDescent="0.2">
      <c r="A92" s="384"/>
      <c r="B92" s="390" t="s">
        <v>304</v>
      </c>
      <c r="C92" s="371"/>
    </row>
    <row r="93" spans="1:3" ht="15" x14ac:dyDescent="0.2">
      <c r="A93" s="384"/>
      <c r="B93" s="390" t="s">
        <v>305</v>
      </c>
      <c r="C93" s="371" t="s">
        <v>462</v>
      </c>
    </row>
    <row r="94" spans="1:3" ht="15" x14ac:dyDescent="0.2">
      <c r="A94" s="384"/>
      <c r="B94" s="390" t="s">
        <v>306</v>
      </c>
      <c r="C94" s="371"/>
    </row>
    <row r="95" spans="1:3" ht="15" x14ac:dyDescent="0.2">
      <c r="A95" s="384"/>
      <c r="B95" s="390" t="s">
        <v>378</v>
      </c>
      <c r="C95" s="371"/>
    </row>
    <row r="96" spans="1:3" ht="15" x14ac:dyDescent="0.2">
      <c r="A96" s="384"/>
      <c r="B96" s="390" t="s">
        <v>307</v>
      </c>
      <c r="C96" s="371" t="s">
        <v>418</v>
      </c>
    </row>
    <row r="97" spans="1:3" ht="42.75" x14ac:dyDescent="0.2">
      <c r="A97" s="384"/>
      <c r="B97" s="390" t="s">
        <v>308</v>
      </c>
      <c r="C97" s="371" t="s">
        <v>466</v>
      </c>
    </row>
    <row r="98" spans="1:3" ht="15" x14ac:dyDescent="0.2">
      <c r="A98" s="384"/>
      <c r="B98" s="390" t="s">
        <v>379</v>
      </c>
      <c r="C98" s="371"/>
    </row>
    <row r="99" spans="1:3" ht="15" x14ac:dyDescent="0.2">
      <c r="A99" s="384"/>
      <c r="B99" s="390" t="s">
        <v>309</v>
      </c>
      <c r="C99" s="371"/>
    </row>
    <row r="100" spans="1:3" ht="42.75" x14ac:dyDescent="0.2">
      <c r="A100" s="384"/>
      <c r="B100" s="390" t="s">
        <v>310</v>
      </c>
      <c r="C100" s="371" t="s">
        <v>468</v>
      </c>
    </row>
    <row r="101" spans="1:3" ht="15" x14ac:dyDescent="0.2">
      <c r="A101" s="384"/>
      <c r="B101" s="390" t="s">
        <v>311</v>
      </c>
      <c r="C101" s="371" t="s">
        <v>418</v>
      </c>
    </row>
    <row r="102" spans="1:3" ht="28.5" x14ac:dyDescent="0.2">
      <c r="A102" s="384"/>
      <c r="B102" s="390" t="s">
        <v>312</v>
      </c>
      <c r="C102" s="371" t="s">
        <v>469</v>
      </c>
    </row>
    <row r="103" spans="1:3" ht="15" x14ac:dyDescent="0.2">
      <c r="A103" s="384"/>
      <c r="B103" s="390" t="s">
        <v>380</v>
      </c>
      <c r="C103" s="371" t="s">
        <v>470</v>
      </c>
    </row>
    <row r="104" spans="1:3" ht="15" x14ac:dyDescent="0.2">
      <c r="A104" s="384"/>
      <c r="B104" s="390" t="s">
        <v>313</v>
      </c>
      <c r="C104" s="371" t="s">
        <v>471</v>
      </c>
    </row>
    <row r="105" spans="1:3" ht="15" x14ac:dyDescent="0.2">
      <c r="A105" s="384"/>
      <c r="B105" s="390" t="s">
        <v>314</v>
      </c>
      <c r="C105" s="371"/>
    </row>
    <row r="106" spans="1:3" ht="15" x14ac:dyDescent="0.2">
      <c r="A106" s="384"/>
      <c r="B106" s="390" t="s">
        <v>315</v>
      </c>
      <c r="C106" s="371" t="s">
        <v>472</v>
      </c>
    </row>
    <row r="107" spans="1:3" ht="15" x14ac:dyDescent="0.2">
      <c r="A107" s="384"/>
      <c r="B107" s="390" t="s">
        <v>316</v>
      </c>
      <c r="C107" s="371"/>
    </row>
    <row r="108" spans="1:3" ht="15" x14ac:dyDescent="0.2">
      <c r="A108" s="384"/>
      <c r="B108" s="390" t="s">
        <v>317</v>
      </c>
      <c r="C108" s="371"/>
    </row>
    <row r="109" spans="1:3" ht="28.5" x14ac:dyDescent="0.2">
      <c r="A109" s="384"/>
      <c r="B109" s="390" t="s">
        <v>381</v>
      </c>
      <c r="C109" s="371" t="s">
        <v>474</v>
      </c>
    </row>
    <row r="110" spans="1:3" ht="42.75" x14ac:dyDescent="0.2">
      <c r="A110" s="384"/>
      <c r="B110" s="390" t="s">
        <v>382</v>
      </c>
      <c r="C110" s="371" t="s">
        <v>475</v>
      </c>
    </row>
    <row r="111" spans="1:3" ht="15" x14ac:dyDescent="0.2">
      <c r="A111" s="384"/>
      <c r="B111" s="390" t="s">
        <v>318</v>
      </c>
      <c r="C111" s="371"/>
    </row>
    <row r="112" spans="1:3" ht="15" x14ac:dyDescent="0.2">
      <c r="A112" s="384"/>
      <c r="B112" s="390" t="s">
        <v>319</v>
      </c>
      <c r="C112" s="371" t="s">
        <v>476</v>
      </c>
    </row>
    <row r="113" spans="1:3" ht="15" x14ac:dyDescent="0.2">
      <c r="A113" s="384"/>
      <c r="B113" s="390" t="s">
        <v>320</v>
      </c>
      <c r="C113" s="371"/>
    </row>
    <row r="114" spans="1:3" ht="15" x14ac:dyDescent="0.2">
      <c r="A114" s="384"/>
      <c r="B114" s="390" t="s">
        <v>321</v>
      </c>
      <c r="C114" s="371"/>
    </row>
    <row r="115" spans="1:3" ht="15" x14ac:dyDescent="0.2">
      <c r="A115" s="384"/>
      <c r="B115" s="390" t="s">
        <v>322</v>
      </c>
      <c r="C115" s="371"/>
    </row>
    <row r="116" spans="1:3" ht="15" x14ac:dyDescent="0.2">
      <c r="A116" s="384"/>
      <c r="B116" s="390" t="s">
        <v>323</v>
      </c>
      <c r="C116" s="371" t="s">
        <v>477</v>
      </c>
    </row>
    <row r="117" spans="1:3" ht="15" x14ac:dyDescent="0.2">
      <c r="A117" s="384"/>
      <c r="B117" s="390" t="s">
        <v>324</v>
      </c>
      <c r="C117" s="371"/>
    </row>
    <row r="118" spans="1:3" ht="15" x14ac:dyDescent="0.2">
      <c r="A118" s="384"/>
      <c r="B118" s="390" t="s">
        <v>325</v>
      </c>
      <c r="C118" s="371"/>
    </row>
    <row r="119" spans="1:3" ht="15" x14ac:dyDescent="0.2">
      <c r="A119" s="384"/>
      <c r="B119" s="390" t="s">
        <v>326</v>
      </c>
      <c r="C119" s="371"/>
    </row>
    <row r="120" spans="1:3" ht="15" x14ac:dyDescent="0.2">
      <c r="A120" s="384"/>
      <c r="B120" s="390" t="s">
        <v>327</v>
      </c>
      <c r="C120" s="371"/>
    </row>
    <row r="121" spans="1:3" ht="15" x14ac:dyDescent="0.2">
      <c r="A121" s="384"/>
      <c r="B121" s="390" t="s">
        <v>328</v>
      </c>
      <c r="C121" s="371" t="s">
        <v>418</v>
      </c>
    </row>
    <row r="122" spans="1:3" ht="28.5" x14ac:dyDescent="0.2">
      <c r="A122" s="384"/>
      <c r="B122" s="390" t="s">
        <v>329</v>
      </c>
      <c r="C122" s="371" t="s">
        <v>478</v>
      </c>
    </row>
    <row r="123" spans="1:3" ht="15" x14ac:dyDescent="0.2">
      <c r="A123" s="384"/>
      <c r="B123" s="390" t="s">
        <v>330</v>
      </c>
      <c r="C123" s="371"/>
    </row>
    <row r="124" spans="1:3" ht="28.5" x14ac:dyDescent="0.2">
      <c r="A124" s="384"/>
      <c r="B124" s="390" t="s">
        <v>383</v>
      </c>
      <c r="C124" s="371" t="s">
        <v>479</v>
      </c>
    </row>
    <row r="125" spans="1:3" ht="15" x14ac:dyDescent="0.2">
      <c r="A125" s="384"/>
      <c r="B125" s="390" t="s">
        <v>331</v>
      </c>
      <c r="C125" s="371"/>
    </row>
    <row r="126" spans="1:3" ht="15" x14ac:dyDescent="0.2">
      <c r="A126" s="384"/>
      <c r="B126" s="390" t="s">
        <v>332</v>
      </c>
      <c r="C126" s="371"/>
    </row>
    <row r="127" spans="1:3" ht="15" x14ac:dyDescent="0.2">
      <c r="A127" s="384"/>
      <c r="B127" s="390" t="s">
        <v>333</v>
      </c>
      <c r="C127" s="371"/>
    </row>
    <row r="128" spans="1:3" ht="15" x14ac:dyDescent="0.2">
      <c r="A128" s="384"/>
      <c r="B128" s="390" t="s">
        <v>334</v>
      </c>
      <c r="C128" s="371"/>
    </row>
    <row r="129" spans="1:3" ht="57" x14ac:dyDescent="0.2">
      <c r="A129" s="384"/>
      <c r="B129" s="390" t="s">
        <v>384</v>
      </c>
      <c r="C129" s="371" t="s">
        <v>481</v>
      </c>
    </row>
    <row r="130" spans="1:3" ht="57" x14ac:dyDescent="0.2">
      <c r="A130" s="384"/>
      <c r="B130" s="390" t="s">
        <v>385</v>
      </c>
      <c r="C130" s="371" t="s">
        <v>482</v>
      </c>
    </row>
    <row r="131" spans="1:3" ht="15" x14ac:dyDescent="0.2">
      <c r="A131" s="384"/>
      <c r="B131" s="390" t="s">
        <v>107</v>
      </c>
      <c r="C131" s="371"/>
    </row>
    <row r="132" spans="1:3" ht="15" x14ac:dyDescent="0.2">
      <c r="A132" s="384"/>
      <c r="B132" s="390" t="s">
        <v>335</v>
      </c>
      <c r="C132" s="371" t="s">
        <v>483</v>
      </c>
    </row>
    <row r="133" spans="1:3" ht="28.5" x14ac:dyDescent="0.2">
      <c r="A133" s="384"/>
      <c r="B133" s="390" t="s">
        <v>336</v>
      </c>
      <c r="C133" s="371" t="s">
        <v>484</v>
      </c>
    </row>
    <row r="134" spans="1:3" ht="15" x14ac:dyDescent="0.2">
      <c r="A134" s="384"/>
      <c r="B134" s="390" t="s">
        <v>337</v>
      </c>
      <c r="C134" s="371" t="s">
        <v>485</v>
      </c>
    </row>
    <row r="135" spans="1:3" ht="57" x14ac:dyDescent="0.2">
      <c r="A135" s="384"/>
      <c r="B135" s="390" t="s">
        <v>338</v>
      </c>
      <c r="C135" s="371" t="s">
        <v>486</v>
      </c>
    </row>
    <row r="136" spans="1:3" ht="71.25" x14ac:dyDescent="0.2">
      <c r="A136" s="384"/>
      <c r="B136" s="390" t="s">
        <v>339</v>
      </c>
      <c r="C136" s="371" t="s">
        <v>487</v>
      </c>
    </row>
    <row r="137" spans="1:3" ht="57" x14ac:dyDescent="0.2">
      <c r="A137" s="384"/>
      <c r="B137" s="390" t="s">
        <v>120</v>
      </c>
      <c r="C137" s="371" t="s">
        <v>488</v>
      </c>
    </row>
    <row r="138" spans="1:3" ht="15" x14ac:dyDescent="0.2">
      <c r="A138" s="384"/>
      <c r="B138" s="390" t="s">
        <v>386</v>
      </c>
      <c r="C138" s="371"/>
    </row>
    <row r="139" spans="1:3" ht="15.75" thickBot="1" x14ac:dyDescent="0.25">
      <c r="A139" s="384"/>
      <c r="B139" s="391" t="s">
        <v>340</v>
      </c>
      <c r="C139" s="369"/>
    </row>
    <row r="140" spans="1:3" ht="45" x14ac:dyDescent="0.2">
      <c r="A140" s="382" t="s">
        <v>163</v>
      </c>
      <c r="B140" s="392" t="s">
        <v>69</v>
      </c>
      <c r="C140" s="372" t="s">
        <v>106</v>
      </c>
    </row>
    <row r="141" spans="1:3" ht="15" x14ac:dyDescent="0.2">
      <c r="A141" s="385"/>
      <c r="B141" s="393" t="s">
        <v>71</v>
      </c>
      <c r="C141" s="371" t="s">
        <v>108</v>
      </c>
    </row>
    <row r="142" spans="1:3" ht="28.5" x14ac:dyDescent="0.2">
      <c r="A142" s="385"/>
      <c r="B142" s="393" t="s">
        <v>72</v>
      </c>
      <c r="C142" s="371" t="s">
        <v>109</v>
      </c>
    </row>
    <row r="143" spans="1:3" ht="28.5" x14ac:dyDescent="0.2">
      <c r="A143" s="385"/>
      <c r="B143" s="393" t="s">
        <v>73</v>
      </c>
      <c r="C143" s="371" t="s">
        <v>110</v>
      </c>
    </row>
    <row r="144" spans="1:3" ht="28.5" x14ac:dyDescent="0.2">
      <c r="A144" s="385"/>
      <c r="B144" s="393" t="s">
        <v>74</v>
      </c>
      <c r="C144" s="371" t="s">
        <v>111</v>
      </c>
    </row>
    <row r="145" spans="1:3" ht="28.5" x14ac:dyDescent="0.2">
      <c r="A145" s="385"/>
      <c r="B145" s="393" t="s">
        <v>284</v>
      </c>
      <c r="C145" s="371" t="s">
        <v>440</v>
      </c>
    </row>
    <row r="146" spans="1:3" ht="28.5" x14ac:dyDescent="0.2">
      <c r="A146" s="385"/>
      <c r="B146" s="393" t="s">
        <v>76</v>
      </c>
      <c r="C146" s="371" t="s">
        <v>441</v>
      </c>
    </row>
    <row r="147" spans="1:3" ht="28.5" x14ac:dyDescent="0.2">
      <c r="A147" s="385"/>
      <c r="B147" s="393" t="s">
        <v>84</v>
      </c>
      <c r="C147" s="371" t="s">
        <v>119</v>
      </c>
    </row>
    <row r="148" spans="1:3" ht="28.5" x14ac:dyDescent="0.2">
      <c r="A148" s="385"/>
      <c r="B148" s="393" t="s">
        <v>85</v>
      </c>
      <c r="C148" s="371" t="s">
        <v>463</v>
      </c>
    </row>
    <row r="149" spans="1:3" ht="28.5" x14ac:dyDescent="0.2">
      <c r="A149" s="385"/>
      <c r="B149" s="393" t="s">
        <v>86</v>
      </c>
      <c r="C149" s="371" t="s">
        <v>464</v>
      </c>
    </row>
    <row r="150" spans="1:3" ht="28.5" x14ac:dyDescent="0.2">
      <c r="A150" s="385"/>
      <c r="B150" s="393" t="s">
        <v>87</v>
      </c>
      <c r="C150" s="371" t="s">
        <v>465</v>
      </c>
    </row>
    <row r="151" spans="1:3" ht="28.5" x14ac:dyDescent="0.2">
      <c r="A151" s="385"/>
      <c r="B151" s="393" t="s">
        <v>75</v>
      </c>
      <c r="C151" s="371" t="s">
        <v>473</v>
      </c>
    </row>
    <row r="152" spans="1:3" ht="15" x14ac:dyDescent="0.2">
      <c r="A152" s="385"/>
      <c r="B152" s="393" t="s">
        <v>88</v>
      </c>
      <c r="C152" s="371" t="s">
        <v>480</v>
      </c>
    </row>
    <row r="153" spans="1:3" ht="28.5" x14ac:dyDescent="0.2">
      <c r="A153" s="385"/>
      <c r="B153" s="393" t="s">
        <v>89</v>
      </c>
      <c r="C153" s="371" t="s">
        <v>121</v>
      </c>
    </row>
    <row r="154" spans="1:3" ht="28.5" x14ac:dyDescent="0.2">
      <c r="A154" s="385"/>
      <c r="B154" s="393" t="s">
        <v>90</v>
      </c>
      <c r="C154" s="371" t="s">
        <v>122</v>
      </c>
    </row>
    <row r="155" spans="1:3" ht="15" x14ac:dyDescent="0.2">
      <c r="A155" s="385"/>
      <c r="B155" s="393" t="s">
        <v>91</v>
      </c>
      <c r="C155" s="371" t="s">
        <v>123</v>
      </c>
    </row>
    <row r="156" spans="1:3" ht="28.5" x14ac:dyDescent="0.2">
      <c r="A156" s="385"/>
      <c r="B156" s="393" t="s">
        <v>92</v>
      </c>
      <c r="C156" s="371" t="s">
        <v>124</v>
      </c>
    </row>
    <row r="157" spans="1:3" ht="15" x14ac:dyDescent="0.2">
      <c r="A157" s="385"/>
      <c r="B157" s="393" t="s">
        <v>93</v>
      </c>
      <c r="C157" s="371" t="s">
        <v>125</v>
      </c>
    </row>
    <row r="158" spans="1:3" ht="15" x14ac:dyDescent="0.2">
      <c r="A158" s="385"/>
      <c r="B158" s="393" t="s">
        <v>94</v>
      </c>
      <c r="C158" s="371" t="s">
        <v>126</v>
      </c>
    </row>
    <row r="159" spans="1:3" ht="15.75" thickBot="1" x14ac:dyDescent="0.25">
      <c r="A159" s="385"/>
      <c r="B159" s="394" t="s">
        <v>95</v>
      </c>
      <c r="C159" s="373" t="s">
        <v>127</v>
      </c>
    </row>
    <row r="160" spans="1:3" ht="15" x14ac:dyDescent="0.2">
      <c r="A160" s="386" t="s">
        <v>101</v>
      </c>
      <c r="B160" s="395" t="s">
        <v>387</v>
      </c>
      <c r="C160" s="374"/>
    </row>
    <row r="161" spans="1:3" ht="15" x14ac:dyDescent="0.2">
      <c r="A161" s="384"/>
      <c r="B161" s="396" t="s">
        <v>102</v>
      </c>
      <c r="C161" s="375"/>
    </row>
    <row r="162" spans="1:3" ht="15" x14ac:dyDescent="0.2">
      <c r="A162" s="384"/>
      <c r="B162" s="396" t="s">
        <v>103</v>
      </c>
      <c r="C162" s="375" t="s">
        <v>490</v>
      </c>
    </row>
    <row r="163" spans="1:3" ht="15" x14ac:dyDescent="0.2">
      <c r="A163" s="384"/>
      <c r="B163" s="341" t="s">
        <v>390</v>
      </c>
      <c r="C163" s="375"/>
    </row>
    <row r="164" spans="1:3" ht="15" x14ac:dyDescent="0.2">
      <c r="A164" s="384"/>
      <c r="B164" s="396" t="s">
        <v>177</v>
      </c>
      <c r="C164" s="375"/>
    </row>
    <row r="165" spans="1:3" ht="15" x14ac:dyDescent="0.2">
      <c r="A165" s="384"/>
      <c r="B165" s="396" t="s">
        <v>105</v>
      </c>
      <c r="C165" s="375" t="s">
        <v>492</v>
      </c>
    </row>
    <row r="166" spans="1:3" ht="15" x14ac:dyDescent="0.2">
      <c r="A166" s="384"/>
      <c r="B166" s="396" t="s">
        <v>104</v>
      </c>
      <c r="C166" s="375"/>
    </row>
    <row r="167" spans="1:3" ht="15" x14ac:dyDescent="0.2">
      <c r="A167" s="384"/>
      <c r="B167" s="396" t="s">
        <v>178</v>
      </c>
      <c r="C167" s="375"/>
    </row>
    <row r="168" spans="1:3" ht="15.75" thickBot="1" x14ac:dyDescent="0.25">
      <c r="A168" s="384"/>
      <c r="B168" s="397" t="s">
        <v>388</v>
      </c>
      <c r="C168" s="376" t="s">
        <v>491</v>
      </c>
    </row>
    <row r="169" spans="1:3" ht="114" x14ac:dyDescent="0.2">
      <c r="A169" s="382" t="s">
        <v>146</v>
      </c>
      <c r="B169" s="392" t="s">
        <v>58</v>
      </c>
      <c r="C169" s="377" t="s">
        <v>414</v>
      </c>
    </row>
    <row r="170" spans="1:3" ht="114" x14ac:dyDescent="0.2">
      <c r="A170" s="384"/>
      <c r="B170" s="393" t="s">
        <v>59</v>
      </c>
      <c r="C170" s="378" t="s">
        <v>415</v>
      </c>
    </row>
    <row r="171" spans="1:3" ht="15" x14ac:dyDescent="0.2">
      <c r="A171" s="384"/>
      <c r="B171" s="393" t="s">
        <v>60</v>
      </c>
      <c r="C171" s="378" t="s">
        <v>416</v>
      </c>
    </row>
    <row r="172" spans="1:3" ht="15" x14ac:dyDescent="0.2">
      <c r="A172" s="384"/>
      <c r="B172" s="393" t="s">
        <v>77</v>
      </c>
      <c r="C172" s="378" t="s">
        <v>112</v>
      </c>
    </row>
    <row r="173" spans="1:3" ht="15" x14ac:dyDescent="0.2">
      <c r="A173" s="384"/>
      <c r="B173" s="393" t="s">
        <v>78</v>
      </c>
      <c r="C173" s="378" t="s">
        <v>443</v>
      </c>
    </row>
    <row r="174" spans="1:3" ht="15" x14ac:dyDescent="0.2">
      <c r="A174" s="384"/>
      <c r="B174" s="393" t="s">
        <v>79</v>
      </c>
      <c r="C174" s="378" t="s">
        <v>113</v>
      </c>
    </row>
    <row r="175" spans="1:3" ht="28.5" x14ac:dyDescent="0.2">
      <c r="A175" s="385"/>
      <c r="B175" s="393" t="s">
        <v>80</v>
      </c>
      <c r="C175" s="378" t="s">
        <v>114</v>
      </c>
    </row>
    <row r="176" spans="1:3" ht="29.25" thickBot="1" x14ac:dyDescent="0.25">
      <c r="A176" s="384"/>
      <c r="B176" s="394" t="s">
        <v>81</v>
      </c>
      <c r="C176" s="379" t="s">
        <v>115</v>
      </c>
    </row>
    <row r="177" spans="1:3" ht="28.5" x14ac:dyDescent="0.2">
      <c r="A177" s="386" t="s">
        <v>164</v>
      </c>
      <c r="B177" s="395" t="s">
        <v>49</v>
      </c>
      <c r="C177" s="377" t="s">
        <v>406</v>
      </c>
    </row>
    <row r="178" spans="1:3" ht="28.5" x14ac:dyDescent="0.2">
      <c r="A178" s="384"/>
      <c r="B178" s="396" t="s">
        <v>66</v>
      </c>
      <c r="C178" s="378" t="s">
        <v>426</v>
      </c>
    </row>
    <row r="179" spans="1:3" ht="28.5" x14ac:dyDescent="0.2">
      <c r="A179" s="384"/>
      <c r="B179" s="396" t="s">
        <v>67</v>
      </c>
      <c r="C179" s="378" t="s">
        <v>427</v>
      </c>
    </row>
    <row r="180" spans="1:3" ht="28.5" x14ac:dyDescent="0.2">
      <c r="A180" s="384"/>
      <c r="B180" s="396" t="s">
        <v>68</v>
      </c>
      <c r="C180" s="378" t="s">
        <v>428</v>
      </c>
    </row>
    <row r="181" spans="1:3" ht="28.5" x14ac:dyDescent="0.2">
      <c r="A181" s="384" t="s">
        <v>496</v>
      </c>
      <c r="B181" s="396" t="s">
        <v>38</v>
      </c>
      <c r="C181" s="378" t="s">
        <v>396</v>
      </c>
    </row>
    <row r="182" spans="1:3" ht="71.25" x14ac:dyDescent="0.2">
      <c r="A182" s="384"/>
      <c r="B182" s="396" t="s">
        <v>32</v>
      </c>
      <c r="C182" s="378" t="s">
        <v>497</v>
      </c>
    </row>
    <row r="183" spans="1:3" ht="71.25" x14ac:dyDescent="0.2">
      <c r="A183" s="384"/>
      <c r="B183" s="396" t="s">
        <v>33</v>
      </c>
      <c r="C183" s="378" t="s">
        <v>391</v>
      </c>
    </row>
    <row r="184" spans="1:3" ht="28.5" x14ac:dyDescent="0.2">
      <c r="A184" s="384"/>
      <c r="B184" s="396" t="s">
        <v>70</v>
      </c>
      <c r="C184" s="378" t="s">
        <v>434</v>
      </c>
    </row>
    <row r="185" spans="1:3" ht="57" x14ac:dyDescent="0.2">
      <c r="A185" s="384"/>
      <c r="B185" s="396" t="s">
        <v>39</v>
      </c>
      <c r="C185" s="378" t="s">
        <v>397</v>
      </c>
    </row>
    <row r="186" spans="1:3" ht="15" x14ac:dyDescent="0.2">
      <c r="A186" s="384"/>
      <c r="B186" s="396" t="s">
        <v>42</v>
      </c>
      <c r="C186" s="378" t="s">
        <v>400</v>
      </c>
    </row>
    <row r="187" spans="1:3" ht="28.5" x14ac:dyDescent="0.2">
      <c r="A187" s="384"/>
      <c r="B187" s="396" t="s">
        <v>40</v>
      </c>
      <c r="C187" s="378" t="s">
        <v>398</v>
      </c>
    </row>
    <row r="188" spans="1:3" ht="42.75" x14ac:dyDescent="0.2">
      <c r="A188" s="384"/>
      <c r="B188" s="396" t="s">
        <v>41</v>
      </c>
      <c r="C188" s="378" t="s">
        <v>399</v>
      </c>
    </row>
    <row r="189" spans="1:3" ht="15" x14ac:dyDescent="0.2">
      <c r="A189" s="384"/>
      <c r="B189" s="396" t="s">
        <v>35</v>
      </c>
      <c r="C189" s="378" t="s">
        <v>393</v>
      </c>
    </row>
    <row r="190" spans="1:3" ht="15" x14ac:dyDescent="0.2">
      <c r="A190" s="384"/>
      <c r="B190" s="396" t="s">
        <v>37</v>
      </c>
      <c r="C190" s="380" t="s">
        <v>395</v>
      </c>
    </row>
    <row r="191" spans="1:3" ht="28.5" x14ac:dyDescent="0.2">
      <c r="A191" s="384"/>
      <c r="B191" s="398" t="s">
        <v>36</v>
      </c>
      <c r="C191" s="378" t="s">
        <v>394</v>
      </c>
    </row>
    <row r="192" spans="1:3" ht="43.5" thickBot="1" x14ac:dyDescent="0.25">
      <c r="A192" s="384"/>
      <c r="B192" s="398" t="s">
        <v>341</v>
      </c>
      <c r="C192" s="378" t="s">
        <v>489</v>
      </c>
    </row>
    <row r="193" spans="1:3" ht="15" customHeight="1" x14ac:dyDescent="0.2">
      <c r="A193" s="618" t="s">
        <v>165</v>
      </c>
      <c r="B193" s="395" t="s">
        <v>51</v>
      </c>
      <c r="C193" s="374"/>
    </row>
    <row r="194" spans="1:3" ht="15" customHeight="1" x14ac:dyDescent="0.2">
      <c r="A194" s="619"/>
      <c r="B194" s="396" t="s">
        <v>50</v>
      </c>
      <c r="C194" s="375"/>
    </row>
    <row r="195" spans="1:3" ht="15" x14ac:dyDescent="0.2">
      <c r="A195" s="384"/>
      <c r="B195" s="396" t="s">
        <v>46</v>
      </c>
      <c r="C195" s="375" t="s">
        <v>404</v>
      </c>
    </row>
    <row r="196" spans="1:3" ht="15.75" thickBot="1" x14ac:dyDescent="0.25">
      <c r="A196" s="383"/>
      <c r="B196" s="397" t="s">
        <v>45</v>
      </c>
      <c r="C196" s="376" t="s">
        <v>403</v>
      </c>
    </row>
    <row r="197" spans="1:3" ht="15" customHeight="1" x14ac:dyDescent="0.2">
      <c r="A197" s="618" t="s">
        <v>228</v>
      </c>
      <c r="B197" s="392" t="s">
        <v>47</v>
      </c>
      <c r="C197" s="377" t="s">
        <v>405</v>
      </c>
    </row>
    <row r="198" spans="1:3" ht="15" customHeight="1" x14ac:dyDescent="0.2">
      <c r="A198" s="619"/>
      <c r="B198" s="393" t="s">
        <v>48</v>
      </c>
      <c r="C198" s="378" t="s">
        <v>405</v>
      </c>
    </row>
    <row r="199" spans="1:3" ht="142.5" x14ac:dyDescent="0.2">
      <c r="A199" s="384"/>
      <c r="B199" s="393" t="s">
        <v>53</v>
      </c>
      <c r="C199" s="378" t="s">
        <v>408</v>
      </c>
    </row>
    <row r="200" spans="1:3" ht="15" x14ac:dyDescent="0.2">
      <c r="A200" s="384"/>
      <c r="B200" s="393" t="s">
        <v>56</v>
      </c>
      <c r="C200" s="378" t="s">
        <v>411</v>
      </c>
    </row>
    <row r="201" spans="1:3" ht="28.5" x14ac:dyDescent="0.2">
      <c r="A201" s="384"/>
      <c r="B201" s="393" t="s">
        <v>57</v>
      </c>
      <c r="C201" s="378" t="s">
        <v>413</v>
      </c>
    </row>
    <row r="202" spans="1:3" ht="15" x14ac:dyDescent="0.2">
      <c r="A202" s="384"/>
      <c r="B202" s="393" t="s">
        <v>52</v>
      </c>
      <c r="C202" s="378" t="s">
        <v>407</v>
      </c>
    </row>
    <row r="203" spans="1:3" ht="28.5" x14ac:dyDescent="0.2">
      <c r="A203" s="384"/>
      <c r="B203" s="393" t="s">
        <v>55</v>
      </c>
      <c r="C203" s="378" t="s">
        <v>410</v>
      </c>
    </row>
    <row r="204" spans="1:3" ht="15" x14ac:dyDescent="0.2">
      <c r="A204" s="384"/>
      <c r="B204" s="393" t="s">
        <v>44</v>
      </c>
      <c r="C204" s="375" t="s">
        <v>402</v>
      </c>
    </row>
    <row r="205" spans="1:3" ht="57" x14ac:dyDescent="0.2">
      <c r="A205" s="384"/>
      <c r="B205" s="393" t="s">
        <v>31</v>
      </c>
      <c r="C205" s="380" t="s">
        <v>363</v>
      </c>
    </row>
    <row r="206" spans="1:3" ht="85.5" x14ac:dyDescent="0.2">
      <c r="A206" s="384"/>
      <c r="B206" s="393" t="s">
        <v>257</v>
      </c>
      <c r="C206" s="380" t="s">
        <v>412</v>
      </c>
    </row>
    <row r="207" spans="1:3" ht="57" x14ac:dyDescent="0.2">
      <c r="A207" s="384"/>
      <c r="B207" s="393" t="s">
        <v>176</v>
      </c>
      <c r="C207" s="380" t="s">
        <v>467</v>
      </c>
    </row>
    <row r="208" spans="1:3" ht="15" x14ac:dyDescent="0.2">
      <c r="A208" s="384"/>
      <c r="B208" s="393" t="s">
        <v>366</v>
      </c>
      <c r="C208" s="378"/>
    </row>
    <row r="209" spans="1:3" ht="57" x14ac:dyDescent="0.2">
      <c r="A209" s="384"/>
      <c r="B209" s="393" t="s">
        <v>43</v>
      </c>
      <c r="C209" s="378" t="s">
        <v>401</v>
      </c>
    </row>
    <row r="210" spans="1:3" ht="15" x14ac:dyDescent="0.2">
      <c r="A210" s="384"/>
      <c r="B210" s="393" t="s">
        <v>54</v>
      </c>
      <c r="C210" s="375"/>
    </row>
    <row r="211" spans="1:3" ht="15.75" thickBot="1" x14ac:dyDescent="0.25">
      <c r="A211" s="383"/>
      <c r="B211" s="394" t="s">
        <v>34</v>
      </c>
      <c r="C211" s="381"/>
    </row>
  </sheetData>
  <sheetProtection algorithmName="SHA-512" hashValue="xONL55mIeM/wNVu7JJz8zVLTWf/sI4cb0u6XBPKqXzcSslt8qzeLoviDnkhXDQQRhcHtHLpeuosm98uaN6dgXg==" saltValue="4/Ksjhhxc0GnHG+N8nJMTw==" spinCount="100000" sheet="1" objects="1" scenarios="1" formatColumns="0" formatRows="0"/>
  <sortState ref="B14:B16">
    <sortCondition ref="B13"/>
  </sortState>
  <mergeCells count="4">
    <mergeCell ref="A8:A10"/>
    <mergeCell ref="A11:A12"/>
    <mergeCell ref="A193:A194"/>
    <mergeCell ref="A197:A198"/>
  </mergeCells>
  <pageMargins left="0.70866141732283472" right="0.70866141732283472" top="0.74803149606299213" bottom="0.74803149606299213" header="0.31496062992125984" footer="0.31496062992125984"/>
  <pageSetup paperSize="9" scale="5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6:C14"/>
  <sheetViews>
    <sheetView showGridLines="0" topLeftCell="A6" zoomScaleNormal="100" workbookViewId="0">
      <selection activeCell="A14" sqref="A14"/>
    </sheetView>
  </sheetViews>
  <sheetFormatPr defaultRowHeight="15" x14ac:dyDescent="0.25"/>
  <cols>
    <col min="1" max="1" width="56.5703125" customWidth="1"/>
    <col min="2" max="2" width="18.7109375" customWidth="1"/>
    <col min="3" max="3" width="25.85546875" customWidth="1"/>
  </cols>
  <sheetData>
    <row r="6" spans="1:3" ht="138" customHeight="1" x14ac:dyDescent="0.25"/>
    <row r="7" spans="1:3" x14ac:dyDescent="0.25">
      <c r="A7" s="56"/>
    </row>
    <row r="8" spans="1:3" ht="18.75" customHeight="1" x14ac:dyDescent="0.25"/>
    <row r="9" spans="1:3" s="27" customFormat="1" ht="23.25" customHeight="1" x14ac:dyDescent="0.25"/>
    <row r="10" spans="1:3" s="27" customFormat="1" ht="27.75" customHeight="1" x14ac:dyDescent="0.25"/>
    <row r="11" spans="1:3" ht="30" x14ac:dyDescent="0.25">
      <c r="A11" s="458" t="s">
        <v>182</v>
      </c>
      <c r="B11" s="459" t="s">
        <v>185</v>
      </c>
      <c r="C11" s="458" t="s">
        <v>231</v>
      </c>
    </row>
    <row r="12" spans="1:3" x14ac:dyDescent="0.25">
      <c r="A12" s="577" t="s">
        <v>697</v>
      </c>
      <c r="B12" s="533" t="s">
        <v>183</v>
      </c>
      <c r="C12" s="534"/>
    </row>
    <row r="13" spans="1:3" x14ac:dyDescent="0.25">
      <c r="A13" s="577" t="s">
        <v>698</v>
      </c>
      <c r="B13" s="580" t="s">
        <v>183</v>
      </c>
      <c r="C13" s="581"/>
    </row>
    <row r="14" spans="1:3" x14ac:dyDescent="0.25">
      <c r="A14" s="582" t="s">
        <v>700</v>
      </c>
      <c r="B14" s="583" t="s">
        <v>183</v>
      </c>
      <c r="C14" s="584"/>
    </row>
  </sheetData>
  <sheetProtection formatRows="0"/>
  <conditionalFormatting sqref="A12:A14">
    <cfRule type="duplicateValues" dxfId="31" priority="7"/>
  </conditionalFormatting>
  <dataValidations count="2">
    <dataValidation type="list" allowBlank="1" showInputMessage="1" showErrorMessage="1" sqref="B12:B14">
      <formula1>"Investigation,Procedure"</formula1>
    </dataValidation>
    <dataValidation type="textLength" allowBlank="1" showInputMessage="1" showErrorMessage="1" sqref="A12:A14">
      <formula1>0</formula1>
      <formula2>250</formula2>
    </dataValidation>
  </dataValidations>
  <pageMargins left="0.7" right="0.7" top="0.75" bottom="0.75" header="0.3" footer="0.3"/>
  <pageSetup paperSize="9" scale="79" fitToHeight="0" orientation="portrait" horizontalDpi="1200" verticalDpi="1200"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FF0000"/>
  </sheetPr>
  <dimension ref="A1:F706"/>
  <sheetViews>
    <sheetView showGridLines="0" topLeftCell="A2" zoomScaleNormal="100" workbookViewId="0">
      <selection activeCell="D202" sqref="D202:D203"/>
    </sheetView>
  </sheetViews>
  <sheetFormatPr defaultColWidth="9.140625" defaultRowHeight="14.25" x14ac:dyDescent="0.2"/>
  <cols>
    <col min="1" max="1" width="58.42578125" style="37" customWidth="1"/>
    <col min="2" max="2" width="16.85546875" style="37" customWidth="1"/>
    <col min="3" max="3" width="18.140625" style="37" customWidth="1"/>
    <col min="4" max="4" width="24.5703125" style="37" customWidth="1"/>
    <col min="5" max="5" width="16.140625" style="37" customWidth="1"/>
    <col min="6" max="6" width="136.42578125" style="37" customWidth="1"/>
    <col min="7" max="7" width="37.28515625" style="37" customWidth="1"/>
    <col min="8" max="16384" width="9.140625" style="37"/>
  </cols>
  <sheetData>
    <row r="1" spans="1:6" ht="79.5" customHeight="1" x14ac:dyDescent="0.2"/>
    <row r="2" spans="1:6" ht="26.25" customHeight="1" x14ac:dyDescent="0.2">
      <c r="A2" s="281" t="s">
        <v>524</v>
      </c>
    </row>
    <row r="3" spans="1:6" s="36" customFormat="1" ht="15" x14ac:dyDescent="0.25">
      <c r="A3" s="259" t="s">
        <v>182</v>
      </c>
      <c r="B3" s="282" t="s">
        <v>365</v>
      </c>
      <c r="C3" s="259" t="s">
        <v>342</v>
      </c>
      <c r="D3" s="259" t="s">
        <v>141</v>
      </c>
      <c r="E3" s="259" t="s">
        <v>506</v>
      </c>
      <c r="F3" s="259" t="s">
        <v>364</v>
      </c>
    </row>
    <row r="4" spans="1:6" s="67" customFormat="1" ht="171" hidden="1" x14ac:dyDescent="0.2">
      <c r="A4" s="181" t="s">
        <v>256</v>
      </c>
      <c r="B4" s="284" t="s">
        <v>183</v>
      </c>
      <c r="C4" s="181" t="s">
        <v>498</v>
      </c>
      <c r="D4" s="271" t="s">
        <v>162</v>
      </c>
      <c r="E4" s="184"/>
      <c r="F4" s="272" t="s">
        <v>361</v>
      </c>
    </row>
    <row r="5" spans="1:6" s="67" customFormat="1" ht="28.5" hidden="1" x14ac:dyDescent="0.2">
      <c r="A5" s="273" t="s">
        <v>30</v>
      </c>
      <c r="B5" s="285" t="s">
        <v>183</v>
      </c>
      <c r="C5" s="181" t="s">
        <v>498</v>
      </c>
      <c r="D5" s="271" t="s">
        <v>162</v>
      </c>
      <c r="E5" s="184"/>
      <c r="F5" s="272" t="s">
        <v>362</v>
      </c>
    </row>
    <row r="6" spans="1:6" s="67" customFormat="1" ht="28.5" hidden="1" x14ac:dyDescent="0.2">
      <c r="A6" s="273" t="s">
        <v>47</v>
      </c>
      <c r="B6" s="285" t="s">
        <v>183</v>
      </c>
      <c r="C6" s="181" t="s">
        <v>498</v>
      </c>
      <c r="D6" s="271" t="s">
        <v>228</v>
      </c>
      <c r="E6" s="184"/>
      <c r="F6" s="272" t="s">
        <v>405</v>
      </c>
    </row>
    <row r="7" spans="1:6" s="67" customFormat="1" ht="28.5" hidden="1" x14ac:dyDescent="0.2">
      <c r="A7" s="273" t="s">
        <v>49</v>
      </c>
      <c r="B7" s="285" t="s">
        <v>183</v>
      </c>
      <c r="C7" s="181" t="s">
        <v>498</v>
      </c>
      <c r="D7" s="271" t="s">
        <v>164</v>
      </c>
      <c r="E7" s="184"/>
      <c r="F7" s="272" t="s">
        <v>406</v>
      </c>
    </row>
    <row r="8" spans="1:6" s="67" customFormat="1" ht="99.75" hidden="1" x14ac:dyDescent="0.2">
      <c r="A8" s="273" t="s">
        <v>58</v>
      </c>
      <c r="B8" s="279" t="s">
        <v>184</v>
      </c>
      <c r="C8" s="181" t="s">
        <v>498</v>
      </c>
      <c r="D8" s="276" t="s">
        <v>146</v>
      </c>
      <c r="E8" s="274">
        <v>121</v>
      </c>
      <c r="F8" s="275" t="s">
        <v>414</v>
      </c>
    </row>
    <row r="9" spans="1:6" s="67" customFormat="1" ht="28.5" hidden="1" x14ac:dyDescent="0.2">
      <c r="A9" s="273" t="s">
        <v>48</v>
      </c>
      <c r="B9" s="285" t="s">
        <v>183</v>
      </c>
      <c r="C9" s="181" t="s">
        <v>498</v>
      </c>
      <c r="D9" s="271" t="s">
        <v>228</v>
      </c>
      <c r="E9" s="274"/>
      <c r="F9" s="272" t="s">
        <v>405</v>
      </c>
    </row>
    <row r="10" spans="1:6" s="67" customFormat="1" ht="114" hidden="1" x14ac:dyDescent="0.2">
      <c r="A10" s="273" t="s">
        <v>59</v>
      </c>
      <c r="B10" s="279" t="s">
        <v>184</v>
      </c>
      <c r="C10" s="181" t="s">
        <v>498</v>
      </c>
      <c r="D10" s="276" t="s">
        <v>146</v>
      </c>
      <c r="E10" s="274">
        <v>102</v>
      </c>
      <c r="F10" s="275" t="s">
        <v>415</v>
      </c>
    </row>
    <row r="11" spans="1:6" s="67" customFormat="1" ht="28.5" hidden="1" x14ac:dyDescent="0.2">
      <c r="A11" s="273" t="s">
        <v>60</v>
      </c>
      <c r="B11" s="279" t="s">
        <v>184</v>
      </c>
      <c r="C11" s="181" t="s">
        <v>498</v>
      </c>
      <c r="D11" s="276" t="s">
        <v>146</v>
      </c>
      <c r="E11" s="274">
        <v>42</v>
      </c>
      <c r="F11" s="275" t="s">
        <v>416</v>
      </c>
    </row>
    <row r="12" spans="1:6" s="67" customFormat="1" hidden="1" x14ac:dyDescent="0.2">
      <c r="A12" s="273" t="s">
        <v>38</v>
      </c>
      <c r="B12" s="285" t="s">
        <v>183</v>
      </c>
      <c r="C12" s="181" t="s">
        <v>498</v>
      </c>
      <c r="D12" s="271" t="s">
        <v>164</v>
      </c>
      <c r="E12" s="274"/>
      <c r="F12" s="272" t="s">
        <v>396</v>
      </c>
    </row>
    <row r="13" spans="1:6" s="67" customFormat="1" ht="71.25" hidden="1" x14ac:dyDescent="0.2">
      <c r="A13" s="273" t="s">
        <v>32</v>
      </c>
      <c r="B13" s="285" t="s">
        <v>183</v>
      </c>
      <c r="C13" s="181" t="s">
        <v>498</v>
      </c>
      <c r="D13" s="271" t="s">
        <v>164</v>
      </c>
      <c r="E13" s="274"/>
      <c r="F13" s="272" t="s">
        <v>497</v>
      </c>
    </row>
    <row r="14" spans="1:6" s="67" customFormat="1" ht="71.25" hidden="1" x14ac:dyDescent="0.2">
      <c r="A14" s="273" t="s">
        <v>33</v>
      </c>
      <c r="B14" s="285" t="s">
        <v>183</v>
      </c>
      <c r="C14" s="181" t="s">
        <v>498</v>
      </c>
      <c r="D14" s="271" t="s">
        <v>164</v>
      </c>
      <c r="E14" s="274"/>
      <c r="F14" s="272" t="s">
        <v>391</v>
      </c>
    </row>
    <row r="15" spans="1:6" s="67" customFormat="1" ht="28.5" hidden="1" x14ac:dyDescent="0.2">
      <c r="A15" s="273" t="s">
        <v>258</v>
      </c>
      <c r="B15" s="279" t="s">
        <v>184</v>
      </c>
      <c r="C15" s="181" t="s">
        <v>498</v>
      </c>
      <c r="D15" s="276" t="s">
        <v>145</v>
      </c>
      <c r="E15" s="274">
        <v>8</v>
      </c>
      <c r="F15" s="275" t="s">
        <v>417</v>
      </c>
    </row>
    <row r="16" spans="1:6" s="67" customFormat="1" ht="57" hidden="1" x14ac:dyDescent="0.2">
      <c r="A16" s="273" t="s">
        <v>39</v>
      </c>
      <c r="B16" s="285" t="s">
        <v>183</v>
      </c>
      <c r="C16" s="181" t="s">
        <v>498</v>
      </c>
      <c r="D16" s="271" t="s">
        <v>164</v>
      </c>
      <c r="E16" s="274"/>
      <c r="F16" s="272" t="s">
        <v>397</v>
      </c>
    </row>
    <row r="17" spans="1:6" s="67" customFormat="1" hidden="1" x14ac:dyDescent="0.2">
      <c r="A17" s="273" t="s">
        <v>42</v>
      </c>
      <c r="B17" s="285" t="s">
        <v>183</v>
      </c>
      <c r="C17" s="181" t="s">
        <v>498</v>
      </c>
      <c r="D17" s="271" t="s">
        <v>164</v>
      </c>
      <c r="E17" s="274"/>
      <c r="F17" s="272" t="s">
        <v>400</v>
      </c>
    </row>
    <row r="18" spans="1:6" s="67" customFormat="1" ht="142.5" hidden="1" x14ac:dyDescent="0.2">
      <c r="A18" s="273" t="s">
        <v>53</v>
      </c>
      <c r="B18" s="283" t="s">
        <v>183</v>
      </c>
      <c r="C18" s="181" t="s">
        <v>498</v>
      </c>
      <c r="D18" s="271" t="s">
        <v>228</v>
      </c>
      <c r="E18" s="274"/>
      <c r="F18" s="272" t="s">
        <v>408</v>
      </c>
    </row>
    <row r="19" spans="1:6" s="67" customFormat="1" ht="28.5" hidden="1" x14ac:dyDescent="0.2">
      <c r="A19" s="273" t="s">
        <v>56</v>
      </c>
      <c r="B19" s="283" t="s">
        <v>183</v>
      </c>
      <c r="C19" s="181" t="s">
        <v>498</v>
      </c>
      <c r="D19" s="271" t="s">
        <v>228</v>
      </c>
      <c r="E19" s="274"/>
      <c r="F19" s="272" t="s">
        <v>411</v>
      </c>
    </row>
    <row r="20" spans="1:6" s="67" customFormat="1" hidden="1" x14ac:dyDescent="0.2">
      <c r="A20" s="273" t="s">
        <v>51</v>
      </c>
      <c r="B20" s="283" t="s">
        <v>183</v>
      </c>
      <c r="C20" s="181" t="s">
        <v>498</v>
      </c>
      <c r="D20" s="271" t="s">
        <v>165</v>
      </c>
      <c r="E20" s="274"/>
      <c r="F20" s="272"/>
    </row>
    <row r="21" spans="1:6" s="67" customFormat="1" hidden="1" x14ac:dyDescent="0.2">
      <c r="A21" s="273" t="s">
        <v>50</v>
      </c>
      <c r="B21" s="283" t="s">
        <v>183</v>
      </c>
      <c r="C21" s="181" t="s">
        <v>498</v>
      </c>
      <c r="D21" s="271" t="s">
        <v>165</v>
      </c>
      <c r="E21" s="274"/>
      <c r="F21" s="272"/>
    </row>
    <row r="22" spans="1:6" s="67" customFormat="1" ht="28.5" hidden="1" x14ac:dyDescent="0.2">
      <c r="A22" s="273" t="s">
        <v>57</v>
      </c>
      <c r="B22" s="283" t="s">
        <v>183</v>
      </c>
      <c r="C22" s="181" t="s">
        <v>498</v>
      </c>
      <c r="D22" s="271" t="s">
        <v>228</v>
      </c>
      <c r="E22" s="274"/>
      <c r="F22" s="272" t="s">
        <v>413</v>
      </c>
    </row>
    <row r="23" spans="1:6" s="67" customFormat="1" ht="28.5" hidden="1" x14ac:dyDescent="0.2">
      <c r="A23" s="273" t="s">
        <v>52</v>
      </c>
      <c r="B23" s="283" t="s">
        <v>183</v>
      </c>
      <c r="C23" s="181" t="s">
        <v>498</v>
      </c>
      <c r="D23" s="271" t="s">
        <v>228</v>
      </c>
      <c r="E23" s="274"/>
      <c r="F23" s="272" t="s">
        <v>407</v>
      </c>
    </row>
    <row r="24" spans="1:6" s="67" customFormat="1" ht="28.5" hidden="1" x14ac:dyDescent="0.2">
      <c r="A24" s="273" t="s">
        <v>55</v>
      </c>
      <c r="B24" s="283" t="s">
        <v>183</v>
      </c>
      <c r="C24" s="181" t="s">
        <v>498</v>
      </c>
      <c r="D24" s="271" t="s">
        <v>228</v>
      </c>
      <c r="E24" s="274"/>
      <c r="F24" s="272" t="s">
        <v>410</v>
      </c>
    </row>
    <row r="25" spans="1:6" s="67" customFormat="1" ht="28.5" hidden="1" x14ac:dyDescent="0.2">
      <c r="A25" s="273" t="s">
        <v>40</v>
      </c>
      <c r="B25" s="283" t="s">
        <v>183</v>
      </c>
      <c r="C25" s="181" t="s">
        <v>498</v>
      </c>
      <c r="D25" s="271" t="s">
        <v>164</v>
      </c>
      <c r="E25" s="274"/>
      <c r="F25" s="272" t="s">
        <v>398</v>
      </c>
    </row>
    <row r="26" spans="1:6" s="67" customFormat="1" hidden="1" x14ac:dyDescent="0.2">
      <c r="A26" s="273" t="s">
        <v>46</v>
      </c>
      <c r="B26" s="283" t="s">
        <v>183</v>
      </c>
      <c r="C26" s="181" t="s">
        <v>498</v>
      </c>
      <c r="D26" s="271" t="s">
        <v>165</v>
      </c>
      <c r="E26" s="274"/>
      <c r="F26" s="272" t="s">
        <v>404</v>
      </c>
    </row>
    <row r="27" spans="1:6" s="67" customFormat="1" hidden="1" x14ac:dyDescent="0.2">
      <c r="A27" s="273" t="s">
        <v>45</v>
      </c>
      <c r="B27" s="283" t="s">
        <v>183</v>
      </c>
      <c r="C27" s="181" t="s">
        <v>498</v>
      </c>
      <c r="D27" s="271" t="s">
        <v>165</v>
      </c>
      <c r="E27" s="274"/>
      <c r="F27" s="272" t="s">
        <v>403</v>
      </c>
    </row>
    <row r="28" spans="1:6" s="67" customFormat="1" ht="28.5" hidden="1" x14ac:dyDescent="0.2">
      <c r="A28" s="273" t="s">
        <v>44</v>
      </c>
      <c r="B28" s="283" t="s">
        <v>183</v>
      </c>
      <c r="C28" s="181" t="s">
        <v>498</v>
      </c>
      <c r="D28" s="271" t="s">
        <v>228</v>
      </c>
      <c r="E28" s="274"/>
      <c r="F28" s="272" t="s">
        <v>402</v>
      </c>
    </row>
    <row r="29" spans="1:6" s="67" customFormat="1" ht="57" hidden="1" x14ac:dyDescent="0.2">
      <c r="A29" s="273" t="s">
        <v>31</v>
      </c>
      <c r="B29" s="283" t="s">
        <v>183</v>
      </c>
      <c r="C29" s="181" t="s">
        <v>498</v>
      </c>
      <c r="D29" s="271" t="s">
        <v>228</v>
      </c>
      <c r="E29" s="274"/>
      <c r="F29" s="272" t="s">
        <v>363</v>
      </c>
    </row>
    <row r="30" spans="1:6" s="67" customFormat="1" ht="71.25" hidden="1" x14ac:dyDescent="0.2">
      <c r="A30" s="273" t="s">
        <v>257</v>
      </c>
      <c r="B30" s="283" t="s">
        <v>183</v>
      </c>
      <c r="C30" s="181" t="s">
        <v>498</v>
      </c>
      <c r="D30" s="271" t="s">
        <v>228</v>
      </c>
      <c r="E30" s="274"/>
      <c r="F30" s="272" t="s">
        <v>412</v>
      </c>
    </row>
    <row r="31" spans="1:6" s="67" customFormat="1" ht="28.5" hidden="1" x14ac:dyDescent="0.2">
      <c r="A31" s="273" t="s">
        <v>259</v>
      </c>
      <c r="B31" s="279" t="s">
        <v>184</v>
      </c>
      <c r="C31" s="181" t="s">
        <v>498</v>
      </c>
      <c r="D31" s="276" t="s">
        <v>145</v>
      </c>
      <c r="E31" s="274">
        <v>8</v>
      </c>
      <c r="F31" s="275" t="s">
        <v>418</v>
      </c>
    </row>
    <row r="32" spans="1:6" s="67" customFormat="1" ht="28.5" hidden="1" x14ac:dyDescent="0.2">
      <c r="A32" s="273" t="s">
        <v>366</v>
      </c>
      <c r="B32" s="285" t="s">
        <v>183</v>
      </c>
      <c r="C32" s="181" t="s">
        <v>498</v>
      </c>
      <c r="D32" s="271" t="s">
        <v>228</v>
      </c>
      <c r="E32" s="274"/>
      <c r="F32" s="272"/>
    </row>
    <row r="33" spans="1:6" s="67" customFormat="1" ht="42.75" hidden="1" x14ac:dyDescent="0.2">
      <c r="A33" s="273" t="s">
        <v>43</v>
      </c>
      <c r="B33" s="285" t="s">
        <v>183</v>
      </c>
      <c r="C33" s="181" t="s">
        <v>498</v>
      </c>
      <c r="D33" s="271" t="s">
        <v>228</v>
      </c>
      <c r="E33" s="274"/>
      <c r="F33" s="272" t="s">
        <v>401</v>
      </c>
    </row>
    <row r="34" spans="1:6" s="67" customFormat="1" ht="57" hidden="1" x14ac:dyDescent="0.2">
      <c r="A34" s="273" t="s">
        <v>54</v>
      </c>
      <c r="B34" s="285" t="s">
        <v>183</v>
      </c>
      <c r="C34" s="181" t="s">
        <v>498</v>
      </c>
      <c r="D34" s="271" t="s">
        <v>228</v>
      </c>
      <c r="E34" s="274"/>
      <c r="F34" s="272" t="s">
        <v>409</v>
      </c>
    </row>
    <row r="35" spans="1:6" s="67" customFormat="1" ht="28.5" hidden="1" x14ac:dyDescent="0.2">
      <c r="A35" s="273" t="s">
        <v>260</v>
      </c>
      <c r="B35" s="280" t="s">
        <v>184</v>
      </c>
      <c r="C35" s="181" t="s">
        <v>498</v>
      </c>
      <c r="D35" s="276" t="s">
        <v>145</v>
      </c>
      <c r="E35" s="274">
        <v>25</v>
      </c>
      <c r="F35" s="275"/>
    </row>
    <row r="36" spans="1:6" s="67" customFormat="1" ht="28.5" hidden="1" x14ac:dyDescent="0.2">
      <c r="A36" s="273" t="s">
        <v>261</v>
      </c>
      <c r="B36" s="280" t="s">
        <v>184</v>
      </c>
      <c r="C36" s="181" t="s">
        <v>498</v>
      </c>
      <c r="D36" s="276" t="s">
        <v>145</v>
      </c>
      <c r="E36" s="274">
        <v>10</v>
      </c>
      <c r="F36" s="275" t="s">
        <v>419</v>
      </c>
    </row>
    <row r="37" spans="1:6" s="67" customFormat="1" x14ac:dyDescent="0.2">
      <c r="A37" s="273" t="s">
        <v>345</v>
      </c>
      <c r="B37" s="280" t="s">
        <v>184</v>
      </c>
      <c r="C37" s="206" t="s">
        <v>499</v>
      </c>
      <c r="D37" s="158" t="s">
        <v>161</v>
      </c>
      <c r="E37" s="274">
        <v>500</v>
      </c>
      <c r="F37" s="278"/>
    </row>
    <row r="38" spans="1:6" s="67" customFormat="1" ht="28.5" hidden="1" x14ac:dyDescent="0.2">
      <c r="A38" s="273" t="s">
        <v>262</v>
      </c>
      <c r="B38" s="280" t="s">
        <v>184</v>
      </c>
      <c r="C38" s="181" t="s">
        <v>498</v>
      </c>
      <c r="D38" s="276" t="s">
        <v>145</v>
      </c>
      <c r="E38" s="274">
        <v>16</v>
      </c>
      <c r="F38" s="275" t="s">
        <v>420</v>
      </c>
    </row>
    <row r="39" spans="1:6" s="67" customFormat="1" ht="28.5" hidden="1" x14ac:dyDescent="0.2">
      <c r="A39" s="273" t="s">
        <v>263</v>
      </c>
      <c r="B39" s="280" t="s">
        <v>184</v>
      </c>
      <c r="C39" s="181" t="s">
        <v>498</v>
      </c>
      <c r="D39" s="276" t="s">
        <v>145</v>
      </c>
      <c r="E39" s="274">
        <v>23</v>
      </c>
      <c r="F39" s="275"/>
    </row>
    <row r="40" spans="1:6" s="67" customFormat="1" ht="28.5" hidden="1" x14ac:dyDescent="0.2">
      <c r="A40" s="273" t="s">
        <v>264</v>
      </c>
      <c r="B40" s="280" t="s">
        <v>184</v>
      </c>
      <c r="C40" s="181" t="s">
        <v>498</v>
      </c>
      <c r="D40" s="276" t="s">
        <v>145</v>
      </c>
      <c r="E40" s="274">
        <v>23</v>
      </c>
      <c r="F40" s="275"/>
    </row>
    <row r="41" spans="1:6" s="67" customFormat="1" ht="28.5" hidden="1" x14ac:dyDescent="0.2">
      <c r="A41" s="273" t="s">
        <v>265</v>
      </c>
      <c r="B41" s="280" t="s">
        <v>184</v>
      </c>
      <c r="C41" s="181" t="s">
        <v>498</v>
      </c>
      <c r="D41" s="276" t="s">
        <v>145</v>
      </c>
      <c r="E41" s="274">
        <v>8</v>
      </c>
      <c r="F41" s="275" t="s">
        <v>418</v>
      </c>
    </row>
    <row r="42" spans="1:6" s="67" customFormat="1" ht="28.5" hidden="1" x14ac:dyDescent="0.2">
      <c r="A42" s="273" t="s">
        <v>61</v>
      </c>
      <c r="B42" s="280" t="s">
        <v>184</v>
      </c>
      <c r="C42" s="181" t="s">
        <v>498</v>
      </c>
      <c r="D42" s="276" t="s">
        <v>145</v>
      </c>
      <c r="E42" s="274">
        <v>17</v>
      </c>
      <c r="F42" s="275" t="s">
        <v>421</v>
      </c>
    </row>
    <row r="43" spans="1:6" s="67" customFormat="1" ht="42.75" hidden="1" x14ac:dyDescent="0.2">
      <c r="A43" s="273" t="s">
        <v>62</v>
      </c>
      <c r="B43" s="280" t="s">
        <v>184</v>
      </c>
      <c r="C43" s="181" t="s">
        <v>498</v>
      </c>
      <c r="D43" s="276" t="s">
        <v>145</v>
      </c>
      <c r="E43" s="274">
        <v>22</v>
      </c>
      <c r="F43" s="275" t="s">
        <v>422</v>
      </c>
    </row>
    <row r="44" spans="1:6" s="67" customFormat="1" ht="42.75" hidden="1" x14ac:dyDescent="0.2">
      <c r="A44" s="273" t="s">
        <v>63</v>
      </c>
      <c r="B44" s="280" t="s">
        <v>184</v>
      </c>
      <c r="C44" s="181" t="s">
        <v>498</v>
      </c>
      <c r="D44" s="276" t="s">
        <v>145</v>
      </c>
      <c r="E44" s="274">
        <v>12</v>
      </c>
      <c r="F44" s="275" t="s">
        <v>423</v>
      </c>
    </row>
    <row r="45" spans="1:6" s="67" customFormat="1" ht="28.5" hidden="1" x14ac:dyDescent="0.2">
      <c r="A45" s="273" t="s">
        <v>64</v>
      </c>
      <c r="B45" s="280" t="s">
        <v>184</v>
      </c>
      <c r="C45" s="181" t="s">
        <v>498</v>
      </c>
      <c r="D45" s="276" t="s">
        <v>145</v>
      </c>
      <c r="E45" s="274">
        <v>12</v>
      </c>
      <c r="F45" s="275" t="s">
        <v>424</v>
      </c>
    </row>
    <row r="46" spans="1:6" s="67" customFormat="1" ht="42.75" hidden="1" x14ac:dyDescent="0.2">
      <c r="A46" s="273" t="s">
        <v>65</v>
      </c>
      <c r="B46" s="280" t="s">
        <v>184</v>
      </c>
      <c r="C46" s="181" t="s">
        <v>498</v>
      </c>
      <c r="D46" s="276" t="s">
        <v>145</v>
      </c>
      <c r="E46" s="274">
        <v>30</v>
      </c>
      <c r="F46" s="275" t="s">
        <v>425</v>
      </c>
    </row>
    <row r="47" spans="1:6" s="67" customFormat="1" ht="28.5" hidden="1" x14ac:dyDescent="0.2">
      <c r="A47" s="273" t="s">
        <v>66</v>
      </c>
      <c r="B47" s="280" t="s">
        <v>184</v>
      </c>
      <c r="C47" s="181" t="s">
        <v>498</v>
      </c>
      <c r="D47" s="271" t="s">
        <v>164</v>
      </c>
      <c r="E47" s="274">
        <v>54</v>
      </c>
      <c r="F47" s="275" t="s">
        <v>426</v>
      </c>
    </row>
    <row r="48" spans="1:6" s="67" customFormat="1" ht="28.5" hidden="1" x14ac:dyDescent="0.2">
      <c r="A48" s="273" t="s">
        <v>67</v>
      </c>
      <c r="B48" s="280" t="s">
        <v>184</v>
      </c>
      <c r="C48" s="181" t="s">
        <v>498</v>
      </c>
      <c r="D48" s="271" t="s">
        <v>164</v>
      </c>
      <c r="E48" s="274">
        <v>197</v>
      </c>
      <c r="F48" s="275" t="s">
        <v>427</v>
      </c>
    </row>
    <row r="49" spans="1:6" s="67" customFormat="1" ht="28.5" hidden="1" x14ac:dyDescent="0.2">
      <c r="A49" s="273" t="s">
        <v>68</v>
      </c>
      <c r="B49" s="280" t="s">
        <v>184</v>
      </c>
      <c r="C49" s="181" t="s">
        <v>498</v>
      </c>
      <c r="D49" s="271" t="s">
        <v>164</v>
      </c>
      <c r="E49" s="274">
        <v>52</v>
      </c>
      <c r="F49" s="275" t="s">
        <v>428</v>
      </c>
    </row>
    <row r="50" spans="1:6" s="67" customFormat="1" ht="57" hidden="1" x14ac:dyDescent="0.2">
      <c r="A50" s="273" t="s">
        <v>367</v>
      </c>
      <c r="B50" s="280" t="s">
        <v>184</v>
      </c>
      <c r="C50" s="181" t="s">
        <v>498</v>
      </c>
      <c r="D50" s="276" t="s">
        <v>145</v>
      </c>
      <c r="E50" s="274">
        <v>20</v>
      </c>
      <c r="F50" s="275" t="s">
        <v>429</v>
      </c>
    </row>
    <row r="51" spans="1:6" s="67" customFormat="1" ht="42.75" hidden="1" x14ac:dyDescent="0.2">
      <c r="A51" s="273" t="s">
        <v>41</v>
      </c>
      <c r="B51" s="283" t="s">
        <v>183</v>
      </c>
      <c r="C51" s="181" t="s">
        <v>498</v>
      </c>
      <c r="D51" s="271" t="s">
        <v>164</v>
      </c>
      <c r="E51" s="274"/>
      <c r="F51" s="272" t="s">
        <v>399</v>
      </c>
    </row>
    <row r="52" spans="1:6" s="67" customFormat="1" ht="28.5" hidden="1" x14ac:dyDescent="0.2">
      <c r="A52" s="273" t="s">
        <v>35</v>
      </c>
      <c r="B52" s="283" t="s">
        <v>183</v>
      </c>
      <c r="C52" s="181" t="s">
        <v>498</v>
      </c>
      <c r="D52" s="271" t="s">
        <v>164</v>
      </c>
      <c r="E52" s="274"/>
      <c r="F52" s="272" t="s">
        <v>393</v>
      </c>
    </row>
    <row r="53" spans="1:6" s="67" customFormat="1" hidden="1" x14ac:dyDescent="0.2">
      <c r="A53" s="273" t="s">
        <v>37</v>
      </c>
      <c r="B53" s="283" t="s">
        <v>183</v>
      </c>
      <c r="C53" s="181" t="s">
        <v>498</v>
      </c>
      <c r="D53" s="271" t="s">
        <v>164</v>
      </c>
      <c r="E53" s="274"/>
      <c r="F53" s="272" t="s">
        <v>395</v>
      </c>
    </row>
    <row r="54" spans="1:6" s="67" customFormat="1" ht="28.5" hidden="1" x14ac:dyDescent="0.2">
      <c r="A54" s="273" t="s">
        <v>266</v>
      </c>
      <c r="B54" s="280" t="s">
        <v>184</v>
      </c>
      <c r="C54" s="181" t="s">
        <v>498</v>
      </c>
      <c r="D54" s="276" t="s">
        <v>145</v>
      </c>
      <c r="E54" s="274">
        <v>35</v>
      </c>
      <c r="F54" s="275" t="s">
        <v>430</v>
      </c>
    </row>
    <row r="55" spans="1:6" s="67" customFormat="1" ht="42.75" hidden="1" x14ac:dyDescent="0.2">
      <c r="A55" s="273" t="s">
        <v>69</v>
      </c>
      <c r="B55" s="280" t="s">
        <v>184</v>
      </c>
      <c r="C55" s="181" t="s">
        <v>498</v>
      </c>
      <c r="D55" s="277" t="s">
        <v>163</v>
      </c>
      <c r="E55" s="274">
        <v>197</v>
      </c>
      <c r="F55" s="275" t="s">
        <v>106</v>
      </c>
    </row>
    <row r="56" spans="1:6" s="67" customFormat="1" ht="28.5" hidden="1" x14ac:dyDescent="0.2">
      <c r="A56" s="273" t="s">
        <v>267</v>
      </c>
      <c r="B56" s="280" t="s">
        <v>184</v>
      </c>
      <c r="C56" s="181" t="s">
        <v>498</v>
      </c>
      <c r="D56" s="276" t="s">
        <v>145</v>
      </c>
      <c r="E56" s="274">
        <v>8</v>
      </c>
      <c r="F56" s="275" t="s">
        <v>431</v>
      </c>
    </row>
    <row r="57" spans="1:6" s="67" customFormat="1" ht="28.5" hidden="1" x14ac:dyDescent="0.2">
      <c r="A57" s="273" t="s">
        <v>268</v>
      </c>
      <c r="B57" s="280" t="s">
        <v>184</v>
      </c>
      <c r="C57" s="181" t="s">
        <v>498</v>
      </c>
      <c r="D57" s="276" t="s">
        <v>145</v>
      </c>
      <c r="E57" s="274">
        <v>15</v>
      </c>
      <c r="F57" s="275" t="s">
        <v>418</v>
      </c>
    </row>
    <row r="58" spans="1:6" s="67" customFormat="1" ht="28.5" hidden="1" x14ac:dyDescent="0.2">
      <c r="A58" s="273" t="s">
        <v>269</v>
      </c>
      <c r="B58" s="280" t="s">
        <v>184</v>
      </c>
      <c r="C58" s="181" t="s">
        <v>498</v>
      </c>
      <c r="D58" s="276" t="s">
        <v>145</v>
      </c>
      <c r="E58" s="274">
        <v>23</v>
      </c>
      <c r="F58" s="275" t="s">
        <v>418</v>
      </c>
    </row>
    <row r="59" spans="1:6" s="67" customFormat="1" ht="28.5" hidden="1" x14ac:dyDescent="0.2">
      <c r="A59" s="273" t="s">
        <v>270</v>
      </c>
      <c r="B59" s="280" t="s">
        <v>184</v>
      </c>
      <c r="C59" s="181" t="s">
        <v>498</v>
      </c>
      <c r="D59" s="276" t="s">
        <v>145</v>
      </c>
      <c r="E59" s="274">
        <v>23</v>
      </c>
      <c r="F59" s="275" t="s">
        <v>418</v>
      </c>
    </row>
    <row r="60" spans="1:6" s="67" customFormat="1" ht="28.5" hidden="1" x14ac:dyDescent="0.2">
      <c r="A60" s="273" t="s">
        <v>271</v>
      </c>
      <c r="B60" s="280" t="s">
        <v>184</v>
      </c>
      <c r="C60" s="181" t="s">
        <v>498</v>
      </c>
      <c r="D60" s="276" t="s">
        <v>145</v>
      </c>
      <c r="E60" s="274">
        <v>11</v>
      </c>
      <c r="F60" s="275" t="s">
        <v>432</v>
      </c>
    </row>
    <row r="61" spans="1:6" s="67" customFormat="1" ht="28.5" hidden="1" x14ac:dyDescent="0.2">
      <c r="A61" s="273" t="s">
        <v>272</v>
      </c>
      <c r="B61" s="280" t="s">
        <v>184</v>
      </c>
      <c r="C61" s="181" t="s">
        <v>498</v>
      </c>
      <c r="D61" s="276" t="s">
        <v>145</v>
      </c>
      <c r="E61" s="274">
        <v>27</v>
      </c>
      <c r="F61" s="275"/>
    </row>
    <row r="62" spans="1:6" s="67" customFormat="1" ht="28.5" hidden="1" x14ac:dyDescent="0.2">
      <c r="A62" s="273" t="s">
        <v>273</v>
      </c>
      <c r="B62" s="280" t="s">
        <v>184</v>
      </c>
      <c r="C62" s="181" t="s">
        <v>498</v>
      </c>
      <c r="D62" s="276" t="s">
        <v>145</v>
      </c>
      <c r="E62" s="274">
        <v>33</v>
      </c>
      <c r="F62" s="275"/>
    </row>
    <row r="63" spans="1:6" s="67" customFormat="1" ht="28.5" hidden="1" x14ac:dyDescent="0.2">
      <c r="A63" s="273" t="s">
        <v>274</v>
      </c>
      <c r="B63" s="280" t="s">
        <v>184</v>
      </c>
      <c r="C63" s="181" t="s">
        <v>498</v>
      </c>
      <c r="D63" s="276" t="s">
        <v>145</v>
      </c>
      <c r="E63" s="274">
        <v>11</v>
      </c>
      <c r="F63" s="275" t="s">
        <v>433</v>
      </c>
    </row>
    <row r="64" spans="1:6" s="67" customFormat="1" ht="28.5" hidden="1" x14ac:dyDescent="0.2">
      <c r="A64" s="273" t="s">
        <v>70</v>
      </c>
      <c r="B64" s="280" t="s">
        <v>184</v>
      </c>
      <c r="C64" s="181" t="s">
        <v>498</v>
      </c>
      <c r="D64" s="271" t="s">
        <v>164</v>
      </c>
      <c r="E64" s="274">
        <v>379</v>
      </c>
      <c r="F64" s="275" t="s">
        <v>434</v>
      </c>
    </row>
    <row r="65" spans="1:6" s="67" customFormat="1" ht="28.5" hidden="1" x14ac:dyDescent="0.2">
      <c r="A65" s="273" t="s">
        <v>36</v>
      </c>
      <c r="B65" s="283" t="s">
        <v>183</v>
      </c>
      <c r="C65" s="181" t="s">
        <v>498</v>
      </c>
      <c r="D65" s="271" t="s">
        <v>164</v>
      </c>
      <c r="E65" s="274"/>
      <c r="F65" s="272" t="s">
        <v>394</v>
      </c>
    </row>
    <row r="66" spans="1:6" s="67" customFormat="1" ht="42.75" hidden="1" x14ac:dyDescent="0.2">
      <c r="A66" s="273" t="s">
        <v>275</v>
      </c>
      <c r="B66" s="280" t="s">
        <v>184</v>
      </c>
      <c r="C66" s="181" t="s">
        <v>498</v>
      </c>
      <c r="D66" s="276" t="s">
        <v>145</v>
      </c>
      <c r="E66" s="274">
        <v>16</v>
      </c>
      <c r="F66" s="275" t="s">
        <v>435</v>
      </c>
    </row>
    <row r="67" spans="1:6" s="67" customFormat="1" ht="28.5" hidden="1" x14ac:dyDescent="0.2">
      <c r="A67" s="273" t="s">
        <v>276</v>
      </c>
      <c r="B67" s="280" t="s">
        <v>184</v>
      </c>
      <c r="C67" s="181" t="s">
        <v>498</v>
      </c>
      <c r="D67" s="276" t="s">
        <v>145</v>
      </c>
      <c r="E67" s="274">
        <v>16</v>
      </c>
      <c r="F67" s="275"/>
    </row>
    <row r="68" spans="1:6" s="67" customFormat="1" ht="28.5" hidden="1" x14ac:dyDescent="0.2">
      <c r="A68" s="273" t="s">
        <v>277</v>
      </c>
      <c r="B68" s="280" t="s">
        <v>184</v>
      </c>
      <c r="C68" s="181" t="s">
        <v>498</v>
      </c>
      <c r="D68" s="276" t="s">
        <v>145</v>
      </c>
      <c r="E68" s="274">
        <v>8</v>
      </c>
      <c r="F68" s="275" t="s">
        <v>418</v>
      </c>
    </row>
    <row r="69" spans="1:6" s="67" customFormat="1" ht="28.5" hidden="1" x14ac:dyDescent="0.2">
      <c r="A69" s="273" t="s">
        <v>278</v>
      </c>
      <c r="B69" s="280" t="s">
        <v>184</v>
      </c>
      <c r="C69" s="181" t="s">
        <v>498</v>
      </c>
      <c r="D69" s="276" t="s">
        <v>145</v>
      </c>
      <c r="E69" s="274">
        <v>8</v>
      </c>
      <c r="F69" s="275"/>
    </row>
    <row r="70" spans="1:6" s="67" customFormat="1" ht="42.75" hidden="1" x14ac:dyDescent="0.2">
      <c r="A70" s="273" t="s">
        <v>368</v>
      </c>
      <c r="B70" s="280" t="s">
        <v>184</v>
      </c>
      <c r="C70" s="181" t="s">
        <v>498</v>
      </c>
      <c r="D70" s="276" t="s">
        <v>145</v>
      </c>
      <c r="E70" s="274">
        <v>20</v>
      </c>
      <c r="F70" s="275" t="s">
        <v>436</v>
      </c>
    </row>
    <row r="71" spans="1:6" s="67" customFormat="1" ht="28.5" hidden="1" x14ac:dyDescent="0.2">
      <c r="A71" s="273" t="s">
        <v>279</v>
      </c>
      <c r="B71" s="280" t="s">
        <v>184</v>
      </c>
      <c r="C71" s="181" t="s">
        <v>498</v>
      </c>
      <c r="D71" s="276" t="s">
        <v>145</v>
      </c>
      <c r="E71" s="274">
        <v>15</v>
      </c>
      <c r="F71" s="275"/>
    </row>
    <row r="72" spans="1:6" s="67" customFormat="1" ht="28.5" hidden="1" x14ac:dyDescent="0.2">
      <c r="A72" s="273" t="s">
        <v>369</v>
      </c>
      <c r="B72" s="280" t="s">
        <v>184</v>
      </c>
      <c r="C72" s="181" t="s">
        <v>498</v>
      </c>
      <c r="D72" s="276" t="s">
        <v>145</v>
      </c>
      <c r="E72" s="274">
        <v>15</v>
      </c>
      <c r="F72" s="275"/>
    </row>
    <row r="73" spans="1:6" s="67" customFormat="1" ht="42.75" hidden="1" x14ac:dyDescent="0.2">
      <c r="A73" s="273" t="s">
        <v>71</v>
      </c>
      <c r="B73" s="280" t="s">
        <v>184</v>
      </c>
      <c r="C73" s="181" t="s">
        <v>498</v>
      </c>
      <c r="D73" s="157" t="s">
        <v>163</v>
      </c>
      <c r="E73" s="274">
        <v>10</v>
      </c>
      <c r="F73" s="275" t="s">
        <v>108</v>
      </c>
    </row>
    <row r="74" spans="1:6" s="67" customFormat="1" ht="28.5" hidden="1" x14ac:dyDescent="0.2">
      <c r="A74" s="273" t="s">
        <v>280</v>
      </c>
      <c r="B74" s="280" t="s">
        <v>184</v>
      </c>
      <c r="C74" s="181" t="s">
        <v>498</v>
      </c>
      <c r="D74" s="276" t="s">
        <v>145</v>
      </c>
      <c r="E74" s="274">
        <v>11</v>
      </c>
      <c r="F74" s="275" t="s">
        <v>437</v>
      </c>
    </row>
    <row r="75" spans="1:6" s="67" customFormat="1" ht="28.5" hidden="1" x14ac:dyDescent="0.2">
      <c r="A75" s="273" t="s">
        <v>281</v>
      </c>
      <c r="B75" s="280" t="s">
        <v>184</v>
      </c>
      <c r="C75" s="181" t="s">
        <v>498</v>
      </c>
      <c r="D75" s="276" t="s">
        <v>145</v>
      </c>
      <c r="E75" s="274">
        <v>8</v>
      </c>
      <c r="F75" s="275" t="s">
        <v>418</v>
      </c>
    </row>
    <row r="76" spans="1:6" s="67" customFormat="1" ht="28.5" hidden="1" x14ac:dyDescent="0.2">
      <c r="A76" s="273" t="s">
        <v>282</v>
      </c>
      <c r="B76" s="280" t="s">
        <v>184</v>
      </c>
      <c r="C76" s="181" t="s">
        <v>498</v>
      </c>
      <c r="D76" s="276" t="s">
        <v>145</v>
      </c>
      <c r="E76" s="274">
        <v>11</v>
      </c>
      <c r="F76" s="275" t="s">
        <v>438</v>
      </c>
    </row>
    <row r="77" spans="1:6" s="67" customFormat="1" ht="28.5" hidden="1" x14ac:dyDescent="0.2">
      <c r="A77" s="273" t="s">
        <v>283</v>
      </c>
      <c r="B77" s="280" t="s">
        <v>184</v>
      </c>
      <c r="C77" s="181" t="s">
        <v>498</v>
      </c>
      <c r="D77" s="276" t="s">
        <v>145</v>
      </c>
      <c r="E77" s="274">
        <v>11</v>
      </c>
      <c r="F77" s="275" t="s">
        <v>439</v>
      </c>
    </row>
    <row r="78" spans="1:6" s="67" customFormat="1" ht="42.75" hidden="1" x14ac:dyDescent="0.2">
      <c r="A78" s="273" t="s">
        <v>72</v>
      </c>
      <c r="B78" s="280" t="s">
        <v>184</v>
      </c>
      <c r="C78" s="181" t="s">
        <v>498</v>
      </c>
      <c r="D78" s="157" t="s">
        <v>163</v>
      </c>
      <c r="E78" s="274">
        <v>387</v>
      </c>
      <c r="F78" s="275" t="s">
        <v>109</v>
      </c>
    </row>
    <row r="79" spans="1:6" s="67" customFormat="1" ht="42.75" hidden="1" x14ac:dyDescent="0.2">
      <c r="A79" s="273" t="s">
        <v>73</v>
      </c>
      <c r="B79" s="280" t="s">
        <v>184</v>
      </c>
      <c r="C79" s="181" t="s">
        <v>498</v>
      </c>
      <c r="D79" s="157" t="s">
        <v>163</v>
      </c>
      <c r="E79" s="274">
        <v>238</v>
      </c>
      <c r="F79" s="275" t="s">
        <v>110</v>
      </c>
    </row>
    <row r="80" spans="1:6" s="67" customFormat="1" ht="42.75" hidden="1" x14ac:dyDescent="0.2">
      <c r="A80" s="273" t="s">
        <v>74</v>
      </c>
      <c r="B80" s="280" t="s">
        <v>184</v>
      </c>
      <c r="C80" s="181" t="s">
        <v>498</v>
      </c>
      <c r="D80" s="157" t="s">
        <v>163</v>
      </c>
      <c r="E80" s="274">
        <v>157</v>
      </c>
      <c r="F80" s="275" t="s">
        <v>111</v>
      </c>
    </row>
    <row r="81" spans="1:6" s="67" customFormat="1" ht="42.75" hidden="1" x14ac:dyDescent="0.2">
      <c r="A81" s="273" t="s">
        <v>284</v>
      </c>
      <c r="B81" s="280" t="s">
        <v>184</v>
      </c>
      <c r="C81" s="181" t="s">
        <v>498</v>
      </c>
      <c r="D81" s="157" t="s">
        <v>163</v>
      </c>
      <c r="E81" s="274">
        <v>15</v>
      </c>
      <c r="F81" s="275" t="s">
        <v>440</v>
      </c>
    </row>
    <row r="82" spans="1:6" s="67" customFormat="1" ht="42.75" hidden="1" x14ac:dyDescent="0.2">
      <c r="A82" s="273" t="s">
        <v>76</v>
      </c>
      <c r="B82" s="280" t="s">
        <v>184</v>
      </c>
      <c r="C82" s="181" t="s">
        <v>498</v>
      </c>
      <c r="D82" s="157" t="s">
        <v>163</v>
      </c>
      <c r="E82" s="274">
        <v>81</v>
      </c>
      <c r="F82" s="275" t="s">
        <v>441</v>
      </c>
    </row>
    <row r="83" spans="1:6" s="67" customFormat="1" ht="28.5" hidden="1" x14ac:dyDescent="0.2">
      <c r="A83" s="273" t="s">
        <v>285</v>
      </c>
      <c r="B83" s="280" t="s">
        <v>184</v>
      </c>
      <c r="C83" s="181" t="s">
        <v>498</v>
      </c>
      <c r="D83" s="276" t="s">
        <v>145</v>
      </c>
      <c r="E83" s="274">
        <v>8</v>
      </c>
      <c r="F83" s="275" t="s">
        <v>442</v>
      </c>
    </row>
    <row r="84" spans="1:6" s="67" customFormat="1" ht="28.5" hidden="1" x14ac:dyDescent="0.2">
      <c r="A84" s="273" t="s">
        <v>77</v>
      </c>
      <c r="B84" s="280" t="s">
        <v>184</v>
      </c>
      <c r="C84" s="181" t="s">
        <v>498</v>
      </c>
      <c r="D84" s="157" t="s">
        <v>146</v>
      </c>
      <c r="E84" s="274">
        <v>17</v>
      </c>
      <c r="F84" s="275" t="s">
        <v>112</v>
      </c>
    </row>
    <row r="85" spans="1:6" s="67" customFormat="1" ht="28.5" hidden="1" x14ac:dyDescent="0.2">
      <c r="A85" s="273" t="s">
        <v>78</v>
      </c>
      <c r="B85" s="280" t="s">
        <v>184</v>
      </c>
      <c r="C85" s="181" t="s">
        <v>498</v>
      </c>
      <c r="D85" s="157" t="s">
        <v>146</v>
      </c>
      <c r="E85" s="274">
        <v>27</v>
      </c>
      <c r="F85" s="275" t="s">
        <v>443</v>
      </c>
    </row>
    <row r="86" spans="1:6" s="67" customFormat="1" ht="28.5" hidden="1" x14ac:dyDescent="0.2">
      <c r="A86" s="273" t="s">
        <v>370</v>
      </c>
      <c r="B86" s="280" t="s">
        <v>184</v>
      </c>
      <c r="C86" s="181" t="s">
        <v>498</v>
      </c>
      <c r="D86" s="276" t="s">
        <v>145</v>
      </c>
      <c r="E86" s="274">
        <v>19</v>
      </c>
      <c r="F86" s="275" t="s">
        <v>444</v>
      </c>
    </row>
    <row r="87" spans="1:6" s="67" customFormat="1" ht="28.5" hidden="1" x14ac:dyDescent="0.2">
      <c r="A87" s="273" t="s">
        <v>79</v>
      </c>
      <c r="B87" s="280" t="s">
        <v>184</v>
      </c>
      <c r="C87" s="181" t="s">
        <v>498</v>
      </c>
      <c r="D87" s="157" t="s">
        <v>146</v>
      </c>
      <c r="E87" s="274">
        <v>252</v>
      </c>
      <c r="F87" s="275" t="s">
        <v>113</v>
      </c>
    </row>
    <row r="88" spans="1:6" s="67" customFormat="1" ht="28.5" hidden="1" x14ac:dyDescent="0.2">
      <c r="A88" s="273" t="s">
        <v>80</v>
      </c>
      <c r="B88" s="280" t="s">
        <v>184</v>
      </c>
      <c r="C88" s="181" t="s">
        <v>498</v>
      </c>
      <c r="D88" s="157" t="s">
        <v>146</v>
      </c>
      <c r="E88" s="274">
        <v>173</v>
      </c>
      <c r="F88" s="275" t="s">
        <v>114</v>
      </c>
    </row>
    <row r="89" spans="1:6" s="67" customFormat="1" ht="28.5" hidden="1" x14ac:dyDescent="0.2">
      <c r="A89" s="273" t="s">
        <v>81</v>
      </c>
      <c r="B89" s="280" t="s">
        <v>184</v>
      </c>
      <c r="C89" s="181" t="s">
        <v>498</v>
      </c>
      <c r="D89" s="157" t="s">
        <v>146</v>
      </c>
      <c r="E89" s="274">
        <v>370</v>
      </c>
      <c r="F89" s="275" t="s">
        <v>115</v>
      </c>
    </row>
    <row r="90" spans="1:6" s="67" customFormat="1" ht="28.5" hidden="1" x14ac:dyDescent="0.2">
      <c r="A90" s="273" t="s">
        <v>286</v>
      </c>
      <c r="B90" s="280" t="s">
        <v>184</v>
      </c>
      <c r="C90" s="181" t="s">
        <v>498</v>
      </c>
      <c r="D90" s="276" t="s">
        <v>145</v>
      </c>
      <c r="E90" s="274">
        <v>35</v>
      </c>
      <c r="F90" s="275"/>
    </row>
    <row r="91" spans="1:6" s="67" customFormat="1" ht="28.5" hidden="1" x14ac:dyDescent="0.2">
      <c r="A91" s="273" t="s">
        <v>287</v>
      </c>
      <c r="B91" s="280" t="s">
        <v>184</v>
      </c>
      <c r="C91" s="181" t="s">
        <v>498</v>
      </c>
      <c r="D91" s="276" t="s">
        <v>145</v>
      </c>
      <c r="E91" s="274">
        <v>8</v>
      </c>
      <c r="F91" s="275"/>
    </row>
    <row r="92" spans="1:6" s="67" customFormat="1" ht="57" hidden="1" x14ac:dyDescent="0.2">
      <c r="A92" s="273" t="s">
        <v>371</v>
      </c>
      <c r="B92" s="280" t="s">
        <v>184</v>
      </c>
      <c r="C92" s="181" t="s">
        <v>498</v>
      </c>
      <c r="D92" s="276" t="s">
        <v>145</v>
      </c>
      <c r="E92" s="274">
        <v>20</v>
      </c>
      <c r="F92" s="275" t="s">
        <v>445</v>
      </c>
    </row>
    <row r="93" spans="1:6" s="67" customFormat="1" ht="28.5" hidden="1" x14ac:dyDescent="0.2">
      <c r="A93" s="273" t="s">
        <v>289</v>
      </c>
      <c r="B93" s="280" t="s">
        <v>184</v>
      </c>
      <c r="C93" s="181" t="s">
        <v>498</v>
      </c>
      <c r="D93" s="276" t="s">
        <v>145</v>
      </c>
      <c r="E93" s="274">
        <v>10</v>
      </c>
      <c r="F93" s="275" t="s">
        <v>447</v>
      </c>
    </row>
    <row r="94" spans="1:6" s="67" customFormat="1" ht="28.5" hidden="1" x14ac:dyDescent="0.2">
      <c r="A94" s="273" t="s">
        <v>290</v>
      </c>
      <c r="B94" s="280" t="s">
        <v>184</v>
      </c>
      <c r="C94" s="181" t="s">
        <v>498</v>
      </c>
      <c r="D94" s="276" t="s">
        <v>145</v>
      </c>
      <c r="E94" s="274">
        <v>11</v>
      </c>
      <c r="F94" s="275" t="s">
        <v>448</v>
      </c>
    </row>
    <row r="95" spans="1:6" s="67" customFormat="1" ht="28.5" hidden="1" x14ac:dyDescent="0.2">
      <c r="A95" s="273" t="s">
        <v>291</v>
      </c>
      <c r="B95" s="280" t="s">
        <v>184</v>
      </c>
      <c r="C95" s="181" t="s">
        <v>498</v>
      </c>
      <c r="D95" s="276" t="s">
        <v>145</v>
      </c>
      <c r="E95" s="274">
        <v>8</v>
      </c>
      <c r="F95" s="275" t="s">
        <v>449</v>
      </c>
    </row>
    <row r="96" spans="1:6" s="67" customFormat="1" ht="57" hidden="1" x14ac:dyDescent="0.2">
      <c r="A96" s="273" t="s">
        <v>288</v>
      </c>
      <c r="B96" s="280" t="s">
        <v>184</v>
      </c>
      <c r="C96" s="181" t="s">
        <v>498</v>
      </c>
      <c r="D96" s="276" t="s">
        <v>145</v>
      </c>
      <c r="E96" s="274">
        <v>12</v>
      </c>
      <c r="F96" s="275" t="s">
        <v>446</v>
      </c>
    </row>
    <row r="97" spans="1:6" s="67" customFormat="1" ht="71.25" hidden="1" x14ac:dyDescent="0.2">
      <c r="A97" s="273" t="s">
        <v>372</v>
      </c>
      <c r="B97" s="280" t="s">
        <v>184</v>
      </c>
      <c r="C97" s="181" t="s">
        <v>498</v>
      </c>
      <c r="D97" s="276" t="s">
        <v>145</v>
      </c>
      <c r="E97" s="274">
        <v>16</v>
      </c>
      <c r="F97" s="275" t="s">
        <v>450</v>
      </c>
    </row>
    <row r="98" spans="1:6" s="67" customFormat="1" ht="28.5" hidden="1" x14ac:dyDescent="0.2">
      <c r="A98" s="273" t="s">
        <v>373</v>
      </c>
      <c r="B98" s="280" t="s">
        <v>184</v>
      </c>
      <c r="C98" s="181" t="s">
        <v>498</v>
      </c>
      <c r="D98" s="276" t="s">
        <v>145</v>
      </c>
      <c r="E98" s="274">
        <v>8</v>
      </c>
      <c r="F98" s="275" t="s">
        <v>451</v>
      </c>
    </row>
    <row r="99" spans="1:6" s="67" customFormat="1" ht="42.75" hidden="1" x14ac:dyDescent="0.2">
      <c r="A99" s="273" t="s">
        <v>117</v>
      </c>
      <c r="B99" s="280" t="s">
        <v>184</v>
      </c>
      <c r="C99" s="181" t="s">
        <v>498</v>
      </c>
      <c r="D99" s="276" t="s">
        <v>145</v>
      </c>
      <c r="E99" s="274">
        <v>10</v>
      </c>
      <c r="F99" s="275" t="s">
        <v>452</v>
      </c>
    </row>
    <row r="100" spans="1:6" s="67" customFormat="1" ht="28.5" hidden="1" x14ac:dyDescent="0.2">
      <c r="A100" s="273" t="s">
        <v>116</v>
      </c>
      <c r="B100" s="280" t="s">
        <v>184</v>
      </c>
      <c r="C100" s="181" t="s">
        <v>498</v>
      </c>
      <c r="D100" s="276" t="s">
        <v>145</v>
      </c>
      <c r="E100" s="274">
        <v>6</v>
      </c>
      <c r="F100" s="275"/>
    </row>
    <row r="101" spans="1:6" s="67" customFormat="1" ht="42.75" hidden="1" x14ac:dyDescent="0.2">
      <c r="A101" s="273" t="s">
        <v>292</v>
      </c>
      <c r="B101" s="280" t="s">
        <v>184</v>
      </c>
      <c r="C101" s="181" t="s">
        <v>498</v>
      </c>
      <c r="D101" s="276" t="s">
        <v>145</v>
      </c>
      <c r="E101" s="274">
        <v>19</v>
      </c>
      <c r="F101" s="275" t="s">
        <v>453</v>
      </c>
    </row>
    <row r="102" spans="1:6" s="67" customFormat="1" ht="28.5" hidden="1" x14ac:dyDescent="0.2">
      <c r="A102" s="273" t="s">
        <v>297</v>
      </c>
      <c r="B102" s="280" t="s">
        <v>184</v>
      </c>
      <c r="C102" s="181" t="s">
        <v>498</v>
      </c>
      <c r="D102" s="276" t="s">
        <v>145</v>
      </c>
      <c r="E102" s="274">
        <v>11</v>
      </c>
      <c r="F102" s="275"/>
    </row>
    <row r="103" spans="1:6" s="67" customFormat="1" ht="28.5" hidden="1" x14ac:dyDescent="0.2">
      <c r="A103" s="273" t="s">
        <v>374</v>
      </c>
      <c r="B103" s="280" t="s">
        <v>184</v>
      </c>
      <c r="C103" s="181" t="s">
        <v>498</v>
      </c>
      <c r="D103" s="276" t="s">
        <v>145</v>
      </c>
      <c r="E103" s="274">
        <v>8</v>
      </c>
      <c r="F103" s="275"/>
    </row>
    <row r="104" spans="1:6" s="67" customFormat="1" ht="28.5" hidden="1" x14ac:dyDescent="0.2">
      <c r="A104" s="273" t="s">
        <v>293</v>
      </c>
      <c r="B104" s="280" t="s">
        <v>184</v>
      </c>
      <c r="C104" s="181" t="s">
        <v>498</v>
      </c>
      <c r="D104" s="276" t="s">
        <v>145</v>
      </c>
      <c r="E104" s="274">
        <v>16</v>
      </c>
      <c r="F104" s="275" t="s">
        <v>454</v>
      </c>
    </row>
    <row r="105" spans="1:6" s="67" customFormat="1" ht="28.5" hidden="1" x14ac:dyDescent="0.2">
      <c r="A105" s="273" t="s">
        <v>294</v>
      </c>
      <c r="B105" s="280" t="s">
        <v>184</v>
      </c>
      <c r="C105" s="181" t="s">
        <v>498</v>
      </c>
      <c r="D105" s="276" t="s">
        <v>145</v>
      </c>
      <c r="E105" s="274">
        <v>16</v>
      </c>
      <c r="F105" s="275" t="s">
        <v>454</v>
      </c>
    </row>
    <row r="106" spans="1:6" s="67" customFormat="1" ht="71.25" hidden="1" x14ac:dyDescent="0.2">
      <c r="A106" s="273" t="s">
        <v>295</v>
      </c>
      <c r="B106" s="280" t="s">
        <v>184</v>
      </c>
      <c r="C106" s="181" t="s">
        <v>498</v>
      </c>
      <c r="D106" s="276" t="s">
        <v>145</v>
      </c>
      <c r="E106" s="274">
        <v>46</v>
      </c>
      <c r="F106" s="275" t="s">
        <v>455</v>
      </c>
    </row>
    <row r="107" spans="1:6" s="67" customFormat="1" ht="28.5" hidden="1" x14ac:dyDescent="0.2">
      <c r="A107" s="273" t="s">
        <v>296</v>
      </c>
      <c r="B107" s="280" t="s">
        <v>184</v>
      </c>
      <c r="C107" s="181" t="s">
        <v>498</v>
      </c>
      <c r="D107" s="276" t="s">
        <v>145</v>
      </c>
      <c r="E107" s="274">
        <v>16</v>
      </c>
      <c r="F107" s="275" t="s">
        <v>454</v>
      </c>
    </row>
    <row r="108" spans="1:6" s="67" customFormat="1" ht="28.5" hidden="1" x14ac:dyDescent="0.2">
      <c r="A108" s="273" t="s">
        <v>375</v>
      </c>
      <c r="B108" s="280" t="s">
        <v>184</v>
      </c>
      <c r="C108" s="181" t="s">
        <v>498</v>
      </c>
      <c r="D108" s="276" t="s">
        <v>145</v>
      </c>
      <c r="E108" s="274">
        <v>22</v>
      </c>
      <c r="F108" s="275" t="s">
        <v>454</v>
      </c>
    </row>
    <row r="109" spans="1:6" s="67" customFormat="1" ht="28.5" hidden="1" x14ac:dyDescent="0.2">
      <c r="A109" s="273" t="s">
        <v>298</v>
      </c>
      <c r="B109" s="280" t="s">
        <v>184</v>
      </c>
      <c r="C109" s="181" t="s">
        <v>498</v>
      </c>
      <c r="D109" s="276" t="s">
        <v>145</v>
      </c>
      <c r="E109" s="274">
        <v>30</v>
      </c>
      <c r="F109" s="275" t="s">
        <v>456</v>
      </c>
    </row>
    <row r="110" spans="1:6" s="67" customFormat="1" ht="28.5" hidden="1" x14ac:dyDescent="0.2">
      <c r="A110" s="273" t="s">
        <v>299</v>
      </c>
      <c r="B110" s="280" t="s">
        <v>184</v>
      </c>
      <c r="C110" s="181" t="s">
        <v>498</v>
      </c>
      <c r="D110" s="276" t="s">
        <v>145</v>
      </c>
      <c r="E110" s="274">
        <v>15</v>
      </c>
      <c r="F110" s="275" t="s">
        <v>457</v>
      </c>
    </row>
    <row r="111" spans="1:6" s="67" customFormat="1" ht="28.5" hidden="1" x14ac:dyDescent="0.2">
      <c r="A111" s="273" t="s">
        <v>376</v>
      </c>
      <c r="B111" s="280" t="s">
        <v>184</v>
      </c>
      <c r="C111" s="181" t="s">
        <v>498</v>
      </c>
      <c r="D111" s="276" t="s">
        <v>145</v>
      </c>
      <c r="E111" s="274">
        <v>23</v>
      </c>
      <c r="F111" s="275" t="s">
        <v>458</v>
      </c>
    </row>
    <row r="112" spans="1:6" s="67" customFormat="1" ht="28.5" hidden="1" x14ac:dyDescent="0.2">
      <c r="A112" s="273" t="s">
        <v>300</v>
      </c>
      <c r="B112" s="280" t="s">
        <v>184</v>
      </c>
      <c r="C112" s="181" t="s">
        <v>498</v>
      </c>
      <c r="D112" s="276" t="s">
        <v>145</v>
      </c>
      <c r="E112" s="274">
        <v>35</v>
      </c>
      <c r="F112" s="275"/>
    </row>
    <row r="113" spans="1:6" s="67" customFormat="1" ht="28.5" hidden="1" x14ac:dyDescent="0.2">
      <c r="A113" s="273" t="s">
        <v>301</v>
      </c>
      <c r="B113" s="280" t="s">
        <v>184</v>
      </c>
      <c r="C113" s="181" t="s">
        <v>498</v>
      </c>
      <c r="D113" s="276" t="s">
        <v>145</v>
      </c>
      <c r="E113" s="274">
        <v>35</v>
      </c>
      <c r="F113" s="275"/>
    </row>
    <row r="114" spans="1:6" s="67" customFormat="1" ht="28.5" hidden="1" x14ac:dyDescent="0.2">
      <c r="A114" s="273" t="s">
        <v>302</v>
      </c>
      <c r="B114" s="280" t="s">
        <v>184</v>
      </c>
      <c r="C114" s="181" t="s">
        <v>498</v>
      </c>
      <c r="D114" s="276" t="s">
        <v>145</v>
      </c>
      <c r="E114" s="274">
        <v>23</v>
      </c>
      <c r="F114" s="275" t="s">
        <v>459</v>
      </c>
    </row>
    <row r="115" spans="1:6" s="67" customFormat="1" ht="28.5" hidden="1" x14ac:dyDescent="0.2">
      <c r="A115" s="273" t="s">
        <v>82</v>
      </c>
      <c r="B115" s="280" t="s">
        <v>184</v>
      </c>
      <c r="C115" s="181" t="s">
        <v>498</v>
      </c>
      <c r="D115" s="276" t="s">
        <v>145</v>
      </c>
      <c r="E115" s="274">
        <v>11</v>
      </c>
      <c r="F115" s="275" t="s">
        <v>460</v>
      </c>
    </row>
    <row r="116" spans="1:6" s="67" customFormat="1" ht="28.5" hidden="1" x14ac:dyDescent="0.2">
      <c r="A116" s="273" t="s">
        <v>303</v>
      </c>
      <c r="B116" s="280" t="s">
        <v>184</v>
      </c>
      <c r="C116" s="181" t="s">
        <v>498</v>
      </c>
      <c r="D116" s="276" t="s">
        <v>145</v>
      </c>
      <c r="E116" s="274">
        <v>11</v>
      </c>
      <c r="F116" s="275" t="s">
        <v>461</v>
      </c>
    </row>
    <row r="117" spans="1:6" s="67" customFormat="1" ht="28.5" hidden="1" x14ac:dyDescent="0.2">
      <c r="A117" s="273" t="s">
        <v>377</v>
      </c>
      <c r="B117" s="280" t="s">
        <v>184</v>
      </c>
      <c r="C117" s="181" t="s">
        <v>498</v>
      </c>
      <c r="D117" s="276" t="s">
        <v>145</v>
      </c>
      <c r="E117" s="274">
        <v>38</v>
      </c>
      <c r="F117" s="275"/>
    </row>
    <row r="118" spans="1:6" s="67" customFormat="1" ht="28.5" hidden="1" x14ac:dyDescent="0.2">
      <c r="A118" s="273" t="s">
        <v>83</v>
      </c>
      <c r="B118" s="280" t="s">
        <v>184</v>
      </c>
      <c r="C118" s="181" t="s">
        <v>498</v>
      </c>
      <c r="D118" s="276" t="s">
        <v>145</v>
      </c>
      <c r="E118" s="274">
        <v>178</v>
      </c>
      <c r="F118" s="275" t="s">
        <v>118</v>
      </c>
    </row>
    <row r="119" spans="1:6" s="67" customFormat="1" ht="28.5" hidden="1" x14ac:dyDescent="0.2">
      <c r="A119" s="273" t="s">
        <v>304</v>
      </c>
      <c r="B119" s="280" t="s">
        <v>184</v>
      </c>
      <c r="C119" s="181" t="s">
        <v>498</v>
      </c>
      <c r="D119" s="276" t="s">
        <v>145</v>
      </c>
      <c r="E119" s="274">
        <v>25</v>
      </c>
      <c r="F119" s="275"/>
    </row>
    <row r="120" spans="1:6" s="67" customFormat="1" ht="28.5" hidden="1" x14ac:dyDescent="0.2">
      <c r="A120" s="273" t="s">
        <v>305</v>
      </c>
      <c r="B120" s="280" t="s">
        <v>184</v>
      </c>
      <c r="C120" s="181" t="s">
        <v>498</v>
      </c>
      <c r="D120" s="276" t="s">
        <v>145</v>
      </c>
      <c r="E120" s="274">
        <v>11</v>
      </c>
      <c r="F120" s="275" t="s">
        <v>462</v>
      </c>
    </row>
    <row r="121" spans="1:6" s="67" customFormat="1" ht="28.5" hidden="1" x14ac:dyDescent="0.2">
      <c r="A121" s="273" t="s">
        <v>306</v>
      </c>
      <c r="B121" s="280" t="s">
        <v>184</v>
      </c>
      <c r="C121" s="181" t="s">
        <v>498</v>
      </c>
      <c r="D121" s="276" t="s">
        <v>145</v>
      </c>
      <c r="E121" s="274">
        <v>8</v>
      </c>
      <c r="F121" s="275"/>
    </row>
    <row r="122" spans="1:6" s="67" customFormat="1" ht="28.5" hidden="1" x14ac:dyDescent="0.2">
      <c r="A122" s="273" t="s">
        <v>378</v>
      </c>
      <c r="B122" s="280" t="s">
        <v>184</v>
      </c>
      <c r="C122" s="181" t="s">
        <v>498</v>
      </c>
      <c r="D122" s="276" t="s">
        <v>145</v>
      </c>
      <c r="E122" s="274">
        <v>10</v>
      </c>
      <c r="F122" s="275"/>
    </row>
    <row r="123" spans="1:6" s="67" customFormat="1" ht="42.75" hidden="1" x14ac:dyDescent="0.2">
      <c r="A123" s="273" t="s">
        <v>84</v>
      </c>
      <c r="B123" s="280" t="s">
        <v>184</v>
      </c>
      <c r="C123" s="181" t="s">
        <v>498</v>
      </c>
      <c r="D123" s="158" t="s">
        <v>163</v>
      </c>
      <c r="E123" s="274">
        <v>588</v>
      </c>
      <c r="F123" s="275" t="s">
        <v>119</v>
      </c>
    </row>
    <row r="124" spans="1:6" s="67" customFormat="1" ht="42.75" hidden="1" x14ac:dyDescent="0.2">
      <c r="A124" s="273" t="s">
        <v>85</v>
      </c>
      <c r="B124" s="280" t="s">
        <v>184</v>
      </c>
      <c r="C124" s="181" t="s">
        <v>498</v>
      </c>
      <c r="D124" s="158" t="s">
        <v>163</v>
      </c>
      <c r="E124" s="274">
        <v>454</v>
      </c>
      <c r="F124" s="275" t="s">
        <v>463</v>
      </c>
    </row>
    <row r="125" spans="1:6" s="67" customFormat="1" ht="42.75" hidden="1" x14ac:dyDescent="0.2">
      <c r="A125" s="273" t="s">
        <v>86</v>
      </c>
      <c r="B125" s="280" t="s">
        <v>184</v>
      </c>
      <c r="C125" s="181" t="s">
        <v>498</v>
      </c>
      <c r="D125" s="158" t="s">
        <v>163</v>
      </c>
      <c r="E125" s="274">
        <v>374</v>
      </c>
      <c r="F125" s="275" t="s">
        <v>464</v>
      </c>
    </row>
    <row r="126" spans="1:6" s="67" customFormat="1" ht="42.75" hidden="1" x14ac:dyDescent="0.2">
      <c r="A126" s="273" t="s">
        <v>87</v>
      </c>
      <c r="B126" s="280" t="s">
        <v>184</v>
      </c>
      <c r="C126" s="181" t="s">
        <v>498</v>
      </c>
      <c r="D126" s="158" t="s">
        <v>163</v>
      </c>
      <c r="E126" s="274">
        <v>156</v>
      </c>
      <c r="F126" s="275" t="s">
        <v>465</v>
      </c>
    </row>
    <row r="127" spans="1:6" s="67" customFormat="1" ht="28.5" hidden="1" x14ac:dyDescent="0.2">
      <c r="A127" s="273" t="s">
        <v>307</v>
      </c>
      <c r="B127" s="280" t="s">
        <v>184</v>
      </c>
      <c r="C127" s="181" t="s">
        <v>498</v>
      </c>
      <c r="D127" s="276" t="s">
        <v>145</v>
      </c>
      <c r="E127" s="274">
        <v>15</v>
      </c>
      <c r="F127" s="275" t="s">
        <v>418</v>
      </c>
    </row>
    <row r="128" spans="1:6" s="67" customFormat="1" ht="42.75" hidden="1" x14ac:dyDescent="0.2">
      <c r="A128" s="273" t="s">
        <v>308</v>
      </c>
      <c r="B128" s="280" t="s">
        <v>184</v>
      </c>
      <c r="C128" s="181" t="s">
        <v>498</v>
      </c>
      <c r="D128" s="276" t="s">
        <v>145</v>
      </c>
      <c r="E128" s="274">
        <v>8</v>
      </c>
      <c r="F128" s="275" t="s">
        <v>466</v>
      </c>
    </row>
    <row r="129" spans="1:6" s="67" customFormat="1" ht="28.5" hidden="1" x14ac:dyDescent="0.2">
      <c r="A129" s="273" t="s">
        <v>379</v>
      </c>
      <c r="B129" s="280" t="s">
        <v>184</v>
      </c>
      <c r="C129" s="181" t="s">
        <v>498</v>
      </c>
      <c r="D129" s="276" t="s">
        <v>145</v>
      </c>
      <c r="E129" s="274">
        <v>16</v>
      </c>
      <c r="F129" s="275"/>
    </row>
    <row r="130" spans="1:6" s="67" customFormat="1" ht="28.5" hidden="1" x14ac:dyDescent="0.2">
      <c r="A130" s="273" t="s">
        <v>34</v>
      </c>
      <c r="B130" s="283" t="s">
        <v>183</v>
      </c>
      <c r="C130" s="181" t="s">
        <v>498</v>
      </c>
      <c r="D130" s="271" t="s">
        <v>228</v>
      </c>
      <c r="E130" s="274"/>
      <c r="F130" s="272" t="s">
        <v>392</v>
      </c>
    </row>
    <row r="131" spans="1:6" s="67" customFormat="1" ht="42.75" hidden="1" x14ac:dyDescent="0.2">
      <c r="A131" s="273" t="s">
        <v>176</v>
      </c>
      <c r="B131" s="280" t="s">
        <v>184</v>
      </c>
      <c r="C131" s="181" t="s">
        <v>498</v>
      </c>
      <c r="D131" s="271" t="s">
        <v>228</v>
      </c>
      <c r="E131" s="274">
        <v>396</v>
      </c>
      <c r="F131" s="275" t="s">
        <v>467</v>
      </c>
    </row>
    <row r="132" spans="1:6" s="67" customFormat="1" ht="28.5" hidden="1" x14ac:dyDescent="0.2">
      <c r="A132" s="273" t="s">
        <v>309</v>
      </c>
      <c r="B132" s="280" t="s">
        <v>184</v>
      </c>
      <c r="C132" s="181" t="s">
        <v>498</v>
      </c>
      <c r="D132" s="276" t="s">
        <v>145</v>
      </c>
      <c r="E132" s="274">
        <v>15</v>
      </c>
      <c r="F132" s="275"/>
    </row>
    <row r="133" spans="1:6" s="67" customFormat="1" ht="42.75" hidden="1" x14ac:dyDescent="0.2">
      <c r="A133" s="273" t="s">
        <v>310</v>
      </c>
      <c r="B133" s="280" t="s">
        <v>184</v>
      </c>
      <c r="C133" s="181" t="s">
        <v>498</v>
      </c>
      <c r="D133" s="276" t="s">
        <v>145</v>
      </c>
      <c r="E133" s="274">
        <v>46</v>
      </c>
      <c r="F133" s="275" t="s">
        <v>468</v>
      </c>
    </row>
    <row r="134" spans="1:6" s="67" customFormat="1" ht="28.5" hidden="1" x14ac:dyDescent="0.2">
      <c r="A134" s="273" t="s">
        <v>311</v>
      </c>
      <c r="B134" s="280" t="s">
        <v>184</v>
      </c>
      <c r="C134" s="181" t="s">
        <v>498</v>
      </c>
      <c r="D134" s="276" t="s">
        <v>145</v>
      </c>
      <c r="E134" s="274">
        <v>11</v>
      </c>
      <c r="F134" s="275" t="s">
        <v>418</v>
      </c>
    </row>
    <row r="135" spans="1:6" s="67" customFormat="1" ht="28.5" hidden="1" x14ac:dyDescent="0.2">
      <c r="A135" s="273" t="s">
        <v>312</v>
      </c>
      <c r="B135" s="280" t="s">
        <v>184</v>
      </c>
      <c r="C135" s="181" t="s">
        <v>498</v>
      </c>
      <c r="D135" s="276" t="s">
        <v>145</v>
      </c>
      <c r="E135" s="274">
        <v>11</v>
      </c>
      <c r="F135" s="275" t="s">
        <v>469</v>
      </c>
    </row>
    <row r="136" spans="1:6" s="67" customFormat="1" ht="28.5" hidden="1" x14ac:dyDescent="0.2">
      <c r="A136" s="273" t="s">
        <v>380</v>
      </c>
      <c r="B136" s="280" t="s">
        <v>184</v>
      </c>
      <c r="C136" s="181" t="s">
        <v>498</v>
      </c>
      <c r="D136" s="276" t="s">
        <v>145</v>
      </c>
      <c r="E136" s="274">
        <v>15</v>
      </c>
      <c r="F136" s="275" t="s">
        <v>470</v>
      </c>
    </row>
    <row r="137" spans="1:6" s="67" customFormat="1" ht="28.5" hidden="1" x14ac:dyDescent="0.2">
      <c r="A137" s="273" t="s">
        <v>313</v>
      </c>
      <c r="B137" s="280" t="s">
        <v>184</v>
      </c>
      <c r="C137" s="181" t="s">
        <v>498</v>
      </c>
      <c r="D137" s="276" t="s">
        <v>145</v>
      </c>
      <c r="E137" s="274">
        <v>15</v>
      </c>
      <c r="F137" s="275" t="s">
        <v>471</v>
      </c>
    </row>
    <row r="138" spans="1:6" s="67" customFormat="1" ht="28.5" hidden="1" x14ac:dyDescent="0.2">
      <c r="A138" s="273" t="s">
        <v>314</v>
      </c>
      <c r="B138" s="280" t="s">
        <v>184</v>
      </c>
      <c r="C138" s="181" t="s">
        <v>498</v>
      </c>
      <c r="D138" s="276" t="s">
        <v>145</v>
      </c>
      <c r="E138" s="274">
        <v>10</v>
      </c>
      <c r="F138" s="275"/>
    </row>
    <row r="139" spans="1:6" s="67" customFormat="1" ht="28.5" hidden="1" x14ac:dyDescent="0.2">
      <c r="A139" s="273" t="s">
        <v>315</v>
      </c>
      <c r="B139" s="280" t="s">
        <v>184</v>
      </c>
      <c r="C139" s="181" t="s">
        <v>498</v>
      </c>
      <c r="D139" s="276" t="s">
        <v>145</v>
      </c>
      <c r="E139" s="274">
        <v>23</v>
      </c>
      <c r="F139" s="275" t="s">
        <v>472</v>
      </c>
    </row>
    <row r="140" spans="1:6" s="67" customFormat="1" ht="28.5" hidden="1" x14ac:dyDescent="0.2">
      <c r="A140" s="273" t="s">
        <v>316</v>
      </c>
      <c r="B140" s="280" t="s">
        <v>184</v>
      </c>
      <c r="C140" s="181" t="s">
        <v>498</v>
      </c>
      <c r="D140" s="276" t="s">
        <v>145</v>
      </c>
      <c r="E140" s="274">
        <v>107</v>
      </c>
      <c r="F140" s="275"/>
    </row>
    <row r="141" spans="1:6" s="67" customFormat="1" ht="42.75" hidden="1" x14ac:dyDescent="0.2">
      <c r="A141" s="273" t="s">
        <v>75</v>
      </c>
      <c r="B141" s="280" t="s">
        <v>184</v>
      </c>
      <c r="C141" s="181" t="s">
        <v>498</v>
      </c>
      <c r="D141" s="158" t="s">
        <v>163</v>
      </c>
      <c r="E141" s="274">
        <v>109</v>
      </c>
      <c r="F141" s="275" t="s">
        <v>473</v>
      </c>
    </row>
    <row r="142" spans="1:6" s="67" customFormat="1" ht="28.5" hidden="1" x14ac:dyDescent="0.2">
      <c r="A142" s="273" t="s">
        <v>317</v>
      </c>
      <c r="B142" s="280" t="s">
        <v>184</v>
      </c>
      <c r="C142" s="181" t="s">
        <v>498</v>
      </c>
      <c r="D142" s="276" t="s">
        <v>145</v>
      </c>
      <c r="E142" s="274">
        <v>10</v>
      </c>
      <c r="F142" s="275"/>
    </row>
    <row r="143" spans="1:6" s="67" customFormat="1" ht="28.5" hidden="1" x14ac:dyDescent="0.2">
      <c r="A143" s="273" t="s">
        <v>381</v>
      </c>
      <c r="B143" s="280" t="s">
        <v>184</v>
      </c>
      <c r="C143" s="181" t="s">
        <v>498</v>
      </c>
      <c r="D143" s="276" t="s">
        <v>145</v>
      </c>
      <c r="E143" s="274">
        <v>20</v>
      </c>
      <c r="F143" s="275" t="s">
        <v>474</v>
      </c>
    </row>
    <row r="144" spans="1:6" s="67" customFormat="1" ht="42.75" hidden="1" x14ac:dyDescent="0.2">
      <c r="A144" s="273" t="s">
        <v>382</v>
      </c>
      <c r="B144" s="280" t="s">
        <v>184</v>
      </c>
      <c r="C144" s="181" t="s">
        <v>498</v>
      </c>
      <c r="D144" s="276" t="s">
        <v>145</v>
      </c>
      <c r="E144" s="274">
        <v>20</v>
      </c>
      <c r="F144" s="275" t="s">
        <v>475</v>
      </c>
    </row>
    <row r="145" spans="1:6" s="67" customFormat="1" ht="28.5" hidden="1" x14ac:dyDescent="0.2">
      <c r="A145" s="273" t="s">
        <v>318</v>
      </c>
      <c r="B145" s="280" t="s">
        <v>184</v>
      </c>
      <c r="C145" s="181" t="s">
        <v>498</v>
      </c>
      <c r="D145" s="276" t="s">
        <v>145</v>
      </c>
      <c r="E145" s="274">
        <v>19</v>
      </c>
      <c r="F145" s="275"/>
    </row>
    <row r="146" spans="1:6" s="67" customFormat="1" ht="28.5" hidden="1" x14ac:dyDescent="0.2">
      <c r="A146" s="273" t="s">
        <v>319</v>
      </c>
      <c r="B146" s="280" t="s">
        <v>184</v>
      </c>
      <c r="C146" s="181" t="s">
        <v>498</v>
      </c>
      <c r="D146" s="276" t="s">
        <v>145</v>
      </c>
      <c r="E146" s="274">
        <v>12</v>
      </c>
      <c r="F146" s="275" t="s">
        <v>476</v>
      </c>
    </row>
    <row r="147" spans="1:6" s="67" customFormat="1" ht="28.5" hidden="1" x14ac:dyDescent="0.2">
      <c r="A147" s="273" t="s">
        <v>320</v>
      </c>
      <c r="B147" s="279" t="s">
        <v>184</v>
      </c>
      <c r="C147" s="181" t="s">
        <v>498</v>
      </c>
      <c r="D147" s="276" t="s">
        <v>145</v>
      </c>
      <c r="E147" s="274">
        <v>20</v>
      </c>
      <c r="F147" s="275"/>
    </row>
    <row r="148" spans="1:6" s="67" customFormat="1" ht="28.5" hidden="1" x14ac:dyDescent="0.2">
      <c r="A148" s="273" t="s">
        <v>321</v>
      </c>
      <c r="B148" s="279" t="s">
        <v>184</v>
      </c>
      <c r="C148" s="181" t="s">
        <v>498</v>
      </c>
      <c r="D148" s="276" t="s">
        <v>145</v>
      </c>
      <c r="E148" s="274">
        <v>25</v>
      </c>
      <c r="F148" s="275"/>
    </row>
    <row r="149" spans="1:6" s="67" customFormat="1" ht="28.5" hidden="1" x14ac:dyDescent="0.2">
      <c r="A149" s="273" t="s">
        <v>322</v>
      </c>
      <c r="B149" s="279" t="s">
        <v>184</v>
      </c>
      <c r="C149" s="181" t="s">
        <v>498</v>
      </c>
      <c r="D149" s="276" t="s">
        <v>145</v>
      </c>
      <c r="E149" s="274">
        <v>38</v>
      </c>
      <c r="F149" s="275"/>
    </row>
    <row r="150" spans="1:6" s="67" customFormat="1" ht="28.5" hidden="1" x14ac:dyDescent="0.2">
      <c r="A150" s="273" t="s">
        <v>323</v>
      </c>
      <c r="B150" s="279" t="s">
        <v>184</v>
      </c>
      <c r="C150" s="181" t="s">
        <v>498</v>
      </c>
      <c r="D150" s="276" t="s">
        <v>145</v>
      </c>
      <c r="E150" s="274">
        <v>11</v>
      </c>
      <c r="F150" s="275" t="s">
        <v>477</v>
      </c>
    </row>
    <row r="151" spans="1:6" s="67" customFormat="1" ht="28.5" hidden="1" x14ac:dyDescent="0.2">
      <c r="A151" s="273" t="s">
        <v>324</v>
      </c>
      <c r="B151" s="279" t="s">
        <v>184</v>
      </c>
      <c r="C151" s="181" t="s">
        <v>498</v>
      </c>
      <c r="D151" s="276" t="s">
        <v>145</v>
      </c>
      <c r="E151" s="274">
        <v>19</v>
      </c>
      <c r="F151" s="275"/>
    </row>
    <row r="152" spans="1:6" s="67" customFormat="1" ht="28.5" hidden="1" x14ac:dyDescent="0.2">
      <c r="A152" s="273" t="s">
        <v>325</v>
      </c>
      <c r="B152" s="279" t="s">
        <v>184</v>
      </c>
      <c r="C152" s="181" t="s">
        <v>498</v>
      </c>
      <c r="D152" s="276" t="s">
        <v>145</v>
      </c>
      <c r="E152" s="274">
        <v>8</v>
      </c>
      <c r="F152" s="275"/>
    </row>
    <row r="153" spans="1:6" s="67" customFormat="1" ht="28.5" hidden="1" x14ac:dyDescent="0.2">
      <c r="A153" s="273" t="s">
        <v>326</v>
      </c>
      <c r="B153" s="279" t="s">
        <v>184</v>
      </c>
      <c r="C153" s="181" t="s">
        <v>498</v>
      </c>
      <c r="D153" s="276" t="s">
        <v>145</v>
      </c>
      <c r="E153" s="274">
        <v>30</v>
      </c>
      <c r="F153" s="275"/>
    </row>
    <row r="154" spans="1:6" s="67" customFormat="1" ht="28.5" hidden="1" x14ac:dyDescent="0.2">
      <c r="A154" s="273" t="s">
        <v>327</v>
      </c>
      <c r="B154" s="279" t="s">
        <v>184</v>
      </c>
      <c r="C154" s="181" t="s">
        <v>498</v>
      </c>
      <c r="D154" s="276" t="s">
        <v>145</v>
      </c>
      <c r="E154" s="274">
        <v>19</v>
      </c>
      <c r="F154" s="275"/>
    </row>
    <row r="155" spans="1:6" s="67" customFormat="1" ht="28.5" hidden="1" x14ac:dyDescent="0.2">
      <c r="A155" s="273" t="s">
        <v>328</v>
      </c>
      <c r="B155" s="279" t="s">
        <v>184</v>
      </c>
      <c r="C155" s="181" t="s">
        <v>498</v>
      </c>
      <c r="D155" s="276" t="s">
        <v>145</v>
      </c>
      <c r="E155" s="274">
        <v>11</v>
      </c>
      <c r="F155" s="275" t="s">
        <v>418</v>
      </c>
    </row>
    <row r="156" spans="1:6" s="67" customFormat="1" ht="28.5" hidden="1" x14ac:dyDescent="0.2">
      <c r="A156" s="273" t="s">
        <v>329</v>
      </c>
      <c r="B156" s="279" t="s">
        <v>184</v>
      </c>
      <c r="C156" s="181" t="s">
        <v>498</v>
      </c>
      <c r="D156" s="276" t="s">
        <v>145</v>
      </c>
      <c r="E156" s="274">
        <v>16</v>
      </c>
      <c r="F156" s="275" t="s">
        <v>478</v>
      </c>
    </row>
    <row r="157" spans="1:6" s="67" customFormat="1" ht="28.5" hidden="1" x14ac:dyDescent="0.2">
      <c r="A157" s="273" t="s">
        <v>330</v>
      </c>
      <c r="B157" s="279" t="s">
        <v>184</v>
      </c>
      <c r="C157" s="181" t="s">
        <v>498</v>
      </c>
      <c r="D157" s="276" t="s">
        <v>145</v>
      </c>
      <c r="E157" s="274">
        <v>15</v>
      </c>
      <c r="F157" s="275"/>
    </row>
    <row r="158" spans="1:6" s="67" customFormat="1" ht="28.5" hidden="1" x14ac:dyDescent="0.2">
      <c r="A158" s="273" t="s">
        <v>383</v>
      </c>
      <c r="B158" s="279" t="s">
        <v>184</v>
      </c>
      <c r="C158" s="181" t="s">
        <v>498</v>
      </c>
      <c r="D158" s="276" t="s">
        <v>145</v>
      </c>
      <c r="E158" s="274">
        <v>35</v>
      </c>
      <c r="F158" s="275" t="s">
        <v>479</v>
      </c>
    </row>
    <row r="159" spans="1:6" s="67" customFormat="1" ht="28.5" hidden="1" x14ac:dyDescent="0.2">
      <c r="A159" s="273" t="s">
        <v>331</v>
      </c>
      <c r="B159" s="279" t="s">
        <v>184</v>
      </c>
      <c r="C159" s="181" t="s">
        <v>498</v>
      </c>
      <c r="D159" s="276" t="s">
        <v>145</v>
      </c>
      <c r="E159" s="274">
        <v>19</v>
      </c>
      <c r="F159" s="275"/>
    </row>
    <row r="160" spans="1:6" s="67" customFormat="1" ht="28.5" hidden="1" x14ac:dyDescent="0.2">
      <c r="A160" s="273" t="s">
        <v>332</v>
      </c>
      <c r="B160" s="279" t="s">
        <v>184</v>
      </c>
      <c r="C160" s="181" t="s">
        <v>498</v>
      </c>
      <c r="D160" s="276" t="s">
        <v>145</v>
      </c>
      <c r="E160" s="274">
        <v>25</v>
      </c>
      <c r="F160" s="275"/>
    </row>
    <row r="161" spans="1:6" s="67" customFormat="1" ht="28.5" hidden="1" x14ac:dyDescent="0.2">
      <c r="A161" s="273" t="s">
        <v>333</v>
      </c>
      <c r="B161" s="279" t="s">
        <v>184</v>
      </c>
      <c r="C161" s="181" t="s">
        <v>498</v>
      </c>
      <c r="D161" s="276" t="s">
        <v>145</v>
      </c>
      <c r="E161" s="274">
        <v>11</v>
      </c>
      <c r="F161" s="275"/>
    </row>
    <row r="162" spans="1:6" s="67" customFormat="1" ht="42.75" hidden="1" x14ac:dyDescent="0.2">
      <c r="A162" s="273" t="s">
        <v>88</v>
      </c>
      <c r="B162" s="279" t="s">
        <v>184</v>
      </c>
      <c r="C162" s="181" t="s">
        <v>498</v>
      </c>
      <c r="D162" s="158" t="s">
        <v>163</v>
      </c>
      <c r="E162" s="274">
        <v>171</v>
      </c>
      <c r="F162" s="275" t="s">
        <v>480</v>
      </c>
    </row>
    <row r="163" spans="1:6" s="67" customFormat="1" ht="28.5" hidden="1" x14ac:dyDescent="0.2">
      <c r="A163" s="273" t="s">
        <v>334</v>
      </c>
      <c r="B163" s="279" t="s">
        <v>184</v>
      </c>
      <c r="C163" s="181" t="s">
        <v>498</v>
      </c>
      <c r="D163" s="276" t="s">
        <v>145</v>
      </c>
      <c r="E163" s="274">
        <v>8</v>
      </c>
      <c r="F163" s="275"/>
    </row>
    <row r="164" spans="1:6" s="67" customFormat="1" ht="57" hidden="1" x14ac:dyDescent="0.2">
      <c r="A164" s="273" t="s">
        <v>384</v>
      </c>
      <c r="B164" s="279" t="s">
        <v>184</v>
      </c>
      <c r="C164" s="181" t="s">
        <v>498</v>
      </c>
      <c r="D164" s="276" t="s">
        <v>145</v>
      </c>
      <c r="E164" s="274">
        <v>23</v>
      </c>
      <c r="F164" s="275" t="s">
        <v>481</v>
      </c>
    </row>
    <row r="165" spans="1:6" s="67" customFormat="1" ht="57" hidden="1" x14ac:dyDescent="0.2">
      <c r="A165" s="273" t="s">
        <v>385</v>
      </c>
      <c r="B165" s="279" t="s">
        <v>184</v>
      </c>
      <c r="C165" s="181" t="s">
        <v>498</v>
      </c>
      <c r="D165" s="276" t="s">
        <v>145</v>
      </c>
      <c r="E165" s="274">
        <v>19</v>
      </c>
      <c r="F165" s="275" t="s">
        <v>482</v>
      </c>
    </row>
    <row r="166" spans="1:6" s="67" customFormat="1" ht="28.5" hidden="1" x14ac:dyDescent="0.2">
      <c r="A166" s="273" t="s">
        <v>107</v>
      </c>
      <c r="B166" s="279" t="s">
        <v>184</v>
      </c>
      <c r="C166" s="181" t="s">
        <v>498</v>
      </c>
      <c r="D166" s="276" t="s">
        <v>145</v>
      </c>
      <c r="E166" s="274">
        <v>20</v>
      </c>
      <c r="F166" s="275"/>
    </row>
    <row r="167" spans="1:6" s="67" customFormat="1" ht="28.5" hidden="1" x14ac:dyDescent="0.2">
      <c r="A167" s="273" t="s">
        <v>335</v>
      </c>
      <c r="B167" s="279" t="s">
        <v>184</v>
      </c>
      <c r="C167" s="181" t="s">
        <v>498</v>
      </c>
      <c r="D167" s="276" t="s">
        <v>145</v>
      </c>
      <c r="E167" s="274">
        <v>15</v>
      </c>
      <c r="F167" s="275" t="s">
        <v>483</v>
      </c>
    </row>
    <row r="168" spans="1:6" s="67" customFormat="1" ht="28.5" hidden="1" x14ac:dyDescent="0.2">
      <c r="A168" s="273" t="s">
        <v>336</v>
      </c>
      <c r="B168" s="279" t="s">
        <v>184</v>
      </c>
      <c r="C168" s="181" t="s">
        <v>498</v>
      </c>
      <c r="D168" s="276" t="s">
        <v>145</v>
      </c>
      <c r="E168" s="274">
        <v>8</v>
      </c>
      <c r="F168" s="275" t="s">
        <v>484</v>
      </c>
    </row>
    <row r="169" spans="1:6" s="67" customFormat="1" ht="42.75" hidden="1" x14ac:dyDescent="0.2">
      <c r="A169" s="273" t="s">
        <v>89</v>
      </c>
      <c r="B169" s="279" t="s">
        <v>184</v>
      </c>
      <c r="C169" s="181" t="s">
        <v>498</v>
      </c>
      <c r="D169" s="158" t="s">
        <v>163</v>
      </c>
      <c r="E169" s="274">
        <v>59</v>
      </c>
      <c r="F169" s="275" t="s">
        <v>121</v>
      </c>
    </row>
    <row r="170" spans="1:6" s="67" customFormat="1" ht="42.75" hidden="1" x14ac:dyDescent="0.2">
      <c r="A170" s="273" t="s">
        <v>90</v>
      </c>
      <c r="B170" s="279" t="s">
        <v>184</v>
      </c>
      <c r="C170" s="181" t="s">
        <v>498</v>
      </c>
      <c r="D170" s="158" t="s">
        <v>163</v>
      </c>
      <c r="E170" s="274">
        <v>85</v>
      </c>
      <c r="F170" s="275" t="s">
        <v>122</v>
      </c>
    </row>
    <row r="171" spans="1:6" s="67" customFormat="1" ht="42.75" hidden="1" x14ac:dyDescent="0.2">
      <c r="A171" s="273" t="s">
        <v>91</v>
      </c>
      <c r="B171" s="279" t="s">
        <v>184</v>
      </c>
      <c r="C171" s="181" t="s">
        <v>498</v>
      </c>
      <c r="D171" s="158" t="s">
        <v>163</v>
      </c>
      <c r="E171" s="274">
        <v>127</v>
      </c>
      <c r="F171" s="275" t="s">
        <v>123</v>
      </c>
    </row>
    <row r="172" spans="1:6" s="67" customFormat="1" ht="42.75" hidden="1" x14ac:dyDescent="0.2">
      <c r="A172" s="273" t="s">
        <v>92</v>
      </c>
      <c r="B172" s="279" t="s">
        <v>184</v>
      </c>
      <c r="C172" s="181" t="s">
        <v>498</v>
      </c>
      <c r="D172" s="158" t="s">
        <v>163</v>
      </c>
      <c r="E172" s="274">
        <v>59</v>
      </c>
      <c r="F172" s="275" t="s">
        <v>124</v>
      </c>
    </row>
    <row r="173" spans="1:6" s="67" customFormat="1" ht="28.5" hidden="1" x14ac:dyDescent="0.2">
      <c r="A173" s="273" t="s">
        <v>337</v>
      </c>
      <c r="B173" s="279" t="s">
        <v>184</v>
      </c>
      <c r="C173" s="181" t="s">
        <v>498</v>
      </c>
      <c r="D173" s="276" t="s">
        <v>145</v>
      </c>
      <c r="E173" s="274">
        <v>8</v>
      </c>
      <c r="F173" s="275" t="s">
        <v>485</v>
      </c>
    </row>
    <row r="174" spans="1:6" s="67" customFormat="1" ht="42.75" hidden="1" x14ac:dyDescent="0.2">
      <c r="A174" s="273" t="s">
        <v>338</v>
      </c>
      <c r="B174" s="279" t="s">
        <v>184</v>
      </c>
      <c r="C174" s="181" t="s">
        <v>498</v>
      </c>
      <c r="D174" s="276" t="s">
        <v>145</v>
      </c>
      <c r="E174" s="274">
        <v>18</v>
      </c>
      <c r="F174" s="275" t="s">
        <v>486</v>
      </c>
    </row>
    <row r="175" spans="1:6" s="67" customFormat="1" ht="57" hidden="1" x14ac:dyDescent="0.2">
      <c r="A175" s="273" t="s">
        <v>339</v>
      </c>
      <c r="B175" s="279" t="s">
        <v>184</v>
      </c>
      <c r="C175" s="181" t="s">
        <v>498</v>
      </c>
      <c r="D175" s="276" t="s">
        <v>145</v>
      </c>
      <c r="E175" s="274">
        <v>16</v>
      </c>
      <c r="F175" s="275" t="s">
        <v>487</v>
      </c>
    </row>
    <row r="176" spans="1:6" s="67" customFormat="1" ht="42.75" hidden="1" x14ac:dyDescent="0.2">
      <c r="A176" s="273" t="s">
        <v>120</v>
      </c>
      <c r="B176" s="279" t="s">
        <v>184</v>
      </c>
      <c r="C176" s="181" t="s">
        <v>498</v>
      </c>
      <c r="D176" s="276" t="s">
        <v>145</v>
      </c>
      <c r="E176" s="274">
        <v>32</v>
      </c>
      <c r="F176" s="275" t="s">
        <v>488</v>
      </c>
    </row>
    <row r="177" spans="1:6" s="67" customFormat="1" ht="28.5" hidden="1" x14ac:dyDescent="0.2">
      <c r="A177" s="273" t="s">
        <v>386</v>
      </c>
      <c r="B177" s="279" t="s">
        <v>184</v>
      </c>
      <c r="C177" s="181" t="s">
        <v>498</v>
      </c>
      <c r="D177" s="276" t="s">
        <v>145</v>
      </c>
      <c r="E177" s="274">
        <v>9</v>
      </c>
      <c r="F177" s="275"/>
    </row>
    <row r="178" spans="1:6" s="67" customFormat="1" ht="28.5" hidden="1" x14ac:dyDescent="0.2">
      <c r="A178" s="273" t="s">
        <v>340</v>
      </c>
      <c r="B178" s="279" t="s">
        <v>184</v>
      </c>
      <c r="C178" s="181" t="s">
        <v>498</v>
      </c>
      <c r="D178" s="276" t="s">
        <v>145</v>
      </c>
      <c r="E178" s="274">
        <v>46</v>
      </c>
      <c r="F178" s="275"/>
    </row>
    <row r="179" spans="1:6" s="67" customFormat="1" ht="42.75" hidden="1" x14ac:dyDescent="0.2">
      <c r="A179" s="273" t="s">
        <v>341</v>
      </c>
      <c r="B179" s="279" t="s">
        <v>184</v>
      </c>
      <c r="C179" s="181" t="s">
        <v>498</v>
      </c>
      <c r="D179" s="271" t="s">
        <v>164</v>
      </c>
      <c r="E179" s="274">
        <v>16</v>
      </c>
      <c r="F179" s="275" t="s">
        <v>489</v>
      </c>
    </row>
    <row r="180" spans="1:6" s="67" customFormat="1" ht="42.75" hidden="1" x14ac:dyDescent="0.2">
      <c r="A180" s="273" t="s">
        <v>93</v>
      </c>
      <c r="B180" s="279" t="s">
        <v>184</v>
      </c>
      <c r="C180" s="181" t="s">
        <v>498</v>
      </c>
      <c r="D180" s="158" t="s">
        <v>163</v>
      </c>
      <c r="E180" s="274">
        <v>32</v>
      </c>
      <c r="F180" s="275" t="s">
        <v>125</v>
      </c>
    </row>
    <row r="181" spans="1:6" s="67" customFormat="1" ht="42.75" hidden="1" x14ac:dyDescent="0.2">
      <c r="A181" s="273" t="s">
        <v>94</v>
      </c>
      <c r="B181" s="279" t="s">
        <v>184</v>
      </c>
      <c r="C181" s="181" t="s">
        <v>498</v>
      </c>
      <c r="D181" s="158" t="s">
        <v>163</v>
      </c>
      <c r="E181" s="274">
        <v>24</v>
      </c>
      <c r="F181" s="275" t="s">
        <v>126</v>
      </c>
    </row>
    <row r="182" spans="1:6" s="67" customFormat="1" ht="28.5" hidden="1" x14ac:dyDescent="0.2">
      <c r="A182" s="273" t="s">
        <v>387</v>
      </c>
      <c r="B182" s="279" t="s">
        <v>183</v>
      </c>
      <c r="C182" s="181" t="s">
        <v>498</v>
      </c>
      <c r="D182" s="158" t="s">
        <v>101</v>
      </c>
      <c r="E182" s="274"/>
      <c r="F182" s="275"/>
    </row>
    <row r="183" spans="1:6" s="67" customFormat="1" hidden="1" x14ac:dyDescent="0.2">
      <c r="A183" s="273" t="s">
        <v>102</v>
      </c>
      <c r="B183" s="279" t="s">
        <v>183</v>
      </c>
      <c r="C183" s="181" t="s">
        <v>498</v>
      </c>
      <c r="D183" s="158" t="s">
        <v>101</v>
      </c>
      <c r="E183" s="274"/>
      <c r="F183" s="275"/>
    </row>
    <row r="184" spans="1:6" s="67" customFormat="1" hidden="1" x14ac:dyDescent="0.2">
      <c r="A184" s="273" t="s">
        <v>103</v>
      </c>
      <c r="B184" s="279" t="s">
        <v>183</v>
      </c>
      <c r="C184" s="181" t="s">
        <v>498</v>
      </c>
      <c r="D184" s="158" t="s">
        <v>101</v>
      </c>
      <c r="E184" s="274"/>
      <c r="F184" s="275" t="s">
        <v>490</v>
      </c>
    </row>
    <row r="185" spans="1:6" s="67" customFormat="1" ht="28.5" hidden="1" x14ac:dyDescent="0.2">
      <c r="A185" s="273" t="s">
        <v>390</v>
      </c>
      <c r="B185" s="279" t="s">
        <v>183</v>
      </c>
      <c r="C185" s="181" t="s">
        <v>498</v>
      </c>
      <c r="D185" s="158" t="s">
        <v>101</v>
      </c>
      <c r="E185" s="274"/>
      <c r="F185" s="275"/>
    </row>
    <row r="186" spans="1:6" s="67" customFormat="1" ht="28.5" hidden="1" x14ac:dyDescent="0.2">
      <c r="A186" s="273" t="s">
        <v>177</v>
      </c>
      <c r="B186" s="279" t="s">
        <v>183</v>
      </c>
      <c r="C186" s="181" t="s">
        <v>498</v>
      </c>
      <c r="D186" s="158" t="s">
        <v>101</v>
      </c>
      <c r="E186" s="274"/>
      <c r="F186" s="275"/>
    </row>
    <row r="187" spans="1:6" s="67" customFormat="1" hidden="1" x14ac:dyDescent="0.2">
      <c r="A187" s="273" t="s">
        <v>105</v>
      </c>
      <c r="B187" s="279" t="s">
        <v>183</v>
      </c>
      <c r="C187" s="181" t="s">
        <v>498</v>
      </c>
      <c r="D187" s="158" t="s">
        <v>101</v>
      </c>
      <c r="E187" s="274"/>
      <c r="F187" s="275" t="s">
        <v>492</v>
      </c>
    </row>
    <row r="188" spans="1:6" s="67" customFormat="1" ht="28.5" hidden="1" x14ac:dyDescent="0.2">
      <c r="A188" s="273" t="s">
        <v>104</v>
      </c>
      <c r="B188" s="279" t="s">
        <v>183</v>
      </c>
      <c r="C188" s="181" t="s">
        <v>498</v>
      </c>
      <c r="D188" s="158" t="s">
        <v>101</v>
      </c>
      <c r="E188" s="274"/>
      <c r="F188" s="275"/>
    </row>
    <row r="189" spans="1:6" s="67" customFormat="1" hidden="1" x14ac:dyDescent="0.2">
      <c r="A189" s="273" t="s">
        <v>178</v>
      </c>
      <c r="B189" s="279" t="s">
        <v>183</v>
      </c>
      <c r="C189" s="181" t="s">
        <v>498</v>
      </c>
      <c r="D189" s="158" t="s">
        <v>101</v>
      </c>
      <c r="E189" s="274"/>
      <c r="F189" s="275"/>
    </row>
    <row r="190" spans="1:6" s="67" customFormat="1" ht="28.5" x14ac:dyDescent="0.2">
      <c r="A190" s="273" t="s">
        <v>179</v>
      </c>
      <c r="B190" s="279" t="s">
        <v>183</v>
      </c>
      <c r="C190" s="181" t="s">
        <v>499</v>
      </c>
      <c r="D190" s="158" t="s">
        <v>494</v>
      </c>
      <c r="E190" s="274"/>
      <c r="F190" s="275"/>
    </row>
    <row r="191" spans="1:6" s="67" customFormat="1" ht="28.5" x14ac:dyDescent="0.2">
      <c r="A191" s="273" t="s">
        <v>522</v>
      </c>
      <c r="B191" s="279" t="s">
        <v>183</v>
      </c>
      <c r="C191" s="181" t="s">
        <v>499</v>
      </c>
      <c r="D191" s="158" t="s">
        <v>143</v>
      </c>
      <c r="E191" s="274"/>
      <c r="F191" s="275" t="s">
        <v>521</v>
      </c>
    </row>
    <row r="192" spans="1:6" s="67" customFormat="1" ht="42.75" x14ac:dyDescent="0.2">
      <c r="A192" s="273" t="s">
        <v>389</v>
      </c>
      <c r="B192" s="279" t="s">
        <v>183</v>
      </c>
      <c r="C192" s="181" t="s">
        <v>499</v>
      </c>
      <c r="D192" s="158" t="s">
        <v>494</v>
      </c>
      <c r="E192" s="274"/>
      <c r="F192" s="275"/>
    </row>
    <row r="193" spans="1:6" s="67" customFormat="1" ht="28.5" x14ac:dyDescent="0.2">
      <c r="A193" s="273" t="s">
        <v>181</v>
      </c>
      <c r="B193" s="279" t="s">
        <v>183</v>
      </c>
      <c r="C193" s="209" t="s">
        <v>499</v>
      </c>
      <c r="D193" s="158" t="s">
        <v>494</v>
      </c>
      <c r="E193" s="274"/>
      <c r="F193" s="275"/>
    </row>
    <row r="194" spans="1:6" s="67" customFormat="1" ht="29.25" hidden="1" x14ac:dyDescent="0.2">
      <c r="A194" s="273" t="s">
        <v>388</v>
      </c>
      <c r="B194" s="279" t="s">
        <v>183</v>
      </c>
      <c r="C194" s="181" t="s">
        <v>498</v>
      </c>
      <c r="D194" s="158" t="s">
        <v>101</v>
      </c>
      <c r="E194" s="274"/>
      <c r="F194" s="275" t="s">
        <v>491</v>
      </c>
    </row>
    <row r="195" spans="1:6" s="67" customFormat="1" ht="42.75" hidden="1" x14ac:dyDescent="0.2">
      <c r="A195" s="273" t="s">
        <v>95</v>
      </c>
      <c r="B195" s="279" t="s">
        <v>184</v>
      </c>
      <c r="C195" s="181" t="s">
        <v>498</v>
      </c>
      <c r="D195" s="158" t="s">
        <v>163</v>
      </c>
      <c r="E195" s="274">
        <v>54</v>
      </c>
      <c r="F195" s="275" t="s">
        <v>127</v>
      </c>
    </row>
    <row r="196" spans="1:6" s="67" customFormat="1" x14ac:dyDescent="0.2">
      <c r="A196" s="273" t="s">
        <v>100</v>
      </c>
      <c r="B196" s="286" t="s">
        <v>183</v>
      </c>
      <c r="C196" s="206" t="s">
        <v>499</v>
      </c>
      <c r="D196" s="158" t="s">
        <v>160</v>
      </c>
      <c r="E196" s="274"/>
      <c r="F196" s="275"/>
    </row>
    <row r="197" spans="1:6" s="67" customFormat="1" x14ac:dyDescent="0.2">
      <c r="A197" s="273" t="s">
        <v>99</v>
      </c>
      <c r="B197" s="286" t="s">
        <v>183</v>
      </c>
      <c r="C197" s="206" t="s">
        <v>499</v>
      </c>
      <c r="D197" s="158" t="s">
        <v>160</v>
      </c>
      <c r="E197" s="274"/>
      <c r="F197" s="275"/>
    </row>
    <row r="198" spans="1:6" s="67" customFormat="1" x14ac:dyDescent="0.2">
      <c r="A198" s="273" t="s">
        <v>139</v>
      </c>
      <c r="B198" s="279" t="s">
        <v>183</v>
      </c>
      <c r="C198" s="181" t="s">
        <v>499</v>
      </c>
      <c r="D198" s="158" t="s">
        <v>166</v>
      </c>
      <c r="E198" s="274"/>
      <c r="F198" s="275"/>
    </row>
    <row r="199" spans="1:6" s="67" customFormat="1" x14ac:dyDescent="0.2">
      <c r="A199" s="273" t="s">
        <v>140</v>
      </c>
      <c r="B199" s="279" t="s">
        <v>183</v>
      </c>
      <c r="C199" s="181" t="s">
        <v>499</v>
      </c>
      <c r="D199" s="158" t="s">
        <v>166</v>
      </c>
      <c r="E199" s="274"/>
      <c r="F199" s="275"/>
    </row>
    <row r="200" spans="1:6" s="67" customFormat="1" x14ac:dyDescent="0.2">
      <c r="A200" s="273" t="s">
        <v>190</v>
      </c>
      <c r="B200" s="279" t="s">
        <v>183</v>
      </c>
      <c r="C200" s="181" t="s">
        <v>499</v>
      </c>
      <c r="D200" s="158" t="s">
        <v>166</v>
      </c>
      <c r="E200" s="274"/>
      <c r="F200" s="275"/>
    </row>
    <row r="201" spans="1:6" s="67" customFormat="1" x14ac:dyDescent="0.2">
      <c r="A201" s="273" t="s">
        <v>97</v>
      </c>
      <c r="B201" s="279" t="s">
        <v>183</v>
      </c>
      <c r="C201" s="181" t="s">
        <v>499</v>
      </c>
      <c r="D201" s="158" t="s">
        <v>143</v>
      </c>
      <c r="E201" s="274"/>
      <c r="F201" s="275"/>
    </row>
    <row r="202" spans="1:6" s="67" customFormat="1" x14ac:dyDescent="0.2">
      <c r="A202" s="273" t="s">
        <v>98</v>
      </c>
      <c r="B202" s="279" t="s">
        <v>183</v>
      </c>
      <c r="C202" s="181" t="s">
        <v>499</v>
      </c>
      <c r="D202" s="158" t="s">
        <v>143</v>
      </c>
      <c r="E202" s="274"/>
      <c r="F202" s="275"/>
    </row>
    <row r="203" spans="1:6" s="67" customFormat="1" x14ac:dyDescent="0.2">
      <c r="A203" s="273" t="s">
        <v>96</v>
      </c>
      <c r="B203" s="279" t="s">
        <v>183</v>
      </c>
      <c r="C203" s="181" t="s">
        <v>499</v>
      </c>
      <c r="D203" s="158" t="s">
        <v>143</v>
      </c>
      <c r="E203" s="274"/>
      <c r="F203" s="275"/>
    </row>
    <row r="204" spans="1:6" s="67" customFormat="1" ht="28.5" x14ac:dyDescent="0.2">
      <c r="A204" s="273" t="s">
        <v>180</v>
      </c>
      <c r="B204" s="279" t="s">
        <v>183</v>
      </c>
      <c r="C204" s="181" t="s">
        <v>499</v>
      </c>
      <c r="D204" s="158" t="s">
        <v>494</v>
      </c>
      <c r="E204" s="274"/>
      <c r="F204" s="275" t="s">
        <v>493</v>
      </c>
    </row>
    <row r="205" spans="1:6" ht="15" hidden="1" x14ac:dyDescent="0.25">
      <c r="A205" s="55" t="s">
        <v>226</v>
      </c>
      <c r="B205" s="287"/>
      <c r="C205" s="159"/>
      <c r="D205" s="159"/>
      <c r="E205" s="185"/>
      <c r="F205" s="186"/>
    </row>
    <row r="206" spans="1:6" ht="15" hidden="1" customHeight="1" x14ac:dyDescent="0.25">
      <c r="A206" s="38" t="str">
        <f>INDEX(Non_Tariff_Cost,MATCH(0,INDEX(COUNTIF($A$205:A205,Non_Tariff_Cost),0,0),0))</f>
        <v>Advice over phone and request to sefl-isolate</v>
      </c>
      <c r="B206" s="288" t="str">
        <f>INDEX(TBL_Manually_added_tariffs[ActivityType],MATCH(Additional_Inv_Proc_Tariff_List,TBL_Manually_added_tariffs[Activity],0))</f>
        <v>Procedure</v>
      </c>
      <c r="C206" s="158"/>
      <c r="D206" s="158"/>
      <c r="E206" s="35">
        <f>INDEX(TBL_Manually_added_tariffs[Cost (IF INVESTIGATION)],MATCH(Additional_Inv_Proc_Tariff_List,TBL_Manually_added_tariffs[Activity],0))</f>
        <v>0</v>
      </c>
      <c r="F206" s="183"/>
    </row>
    <row r="207" spans="1:6" ht="15" hidden="1" x14ac:dyDescent="0.25">
      <c r="A207" s="38" t="str">
        <f>INDEX(Non_Tariff_Cost,MATCH(0,INDEX(COUNTIF($A$205:A206,Non_Tariff_Cost),0,0),0))</f>
        <v>Eligibility check - review of medications and co-morbidities</v>
      </c>
      <c r="B207" s="288" t="str">
        <f>INDEX(TBL_Manually_added_tariffs[ActivityType],MATCH(Additional_Inv_Proc_Tariff_List,TBL_Manually_added_tariffs[Activity],0))</f>
        <v>Procedure</v>
      </c>
      <c r="C207" s="158"/>
      <c r="D207" s="158"/>
      <c r="E207" s="35">
        <f>INDEX(TBL_Manually_added_tariffs[Cost (IF INVESTIGATION)],MATCH(Additional_Inv_Proc_Tariff_List,TBL_Manually_added_tariffs[Activity],0))</f>
        <v>0</v>
      </c>
      <c r="F207" s="183"/>
    </row>
    <row r="208" spans="1:6" ht="15" hidden="1" x14ac:dyDescent="0.25">
      <c r="A208" s="38" t="str">
        <f>INDEX(Non_Tariff_Cost,MATCH(0,INDEX(COUNTIF($A$205:A207,Non_Tariff_Cost),0,0),0))</f>
        <v>Dispensing self swab kit</v>
      </c>
      <c r="B208" s="288" t="str">
        <f>INDEX(TBL_Manually_added_tariffs[ActivityType],MATCH(Additional_Inv_Proc_Tariff_List,TBL_Manually_added_tariffs[Activity],0))</f>
        <v>Procedure</v>
      </c>
      <c r="C208" s="158"/>
      <c r="D208" s="158"/>
      <c r="E208" s="35">
        <f>INDEX(TBL_Manually_added_tariffs[Cost (IF INVESTIGATION)],MATCH(Additional_Inv_Proc_Tariff_List,TBL_Manually_added_tariffs[Activity],0))</f>
        <v>0</v>
      </c>
      <c r="F208" s="183"/>
    </row>
    <row r="209" spans="1:6" ht="15" hidden="1" x14ac:dyDescent="0.25">
      <c r="A209" s="38" t="e">
        <f>INDEX(Non_Tariff_Cost,MATCH(0,INDEX(COUNTIF($A$205:A208,Non_Tariff_Cost),0,0),0))</f>
        <v>#N/A</v>
      </c>
      <c r="B209" s="288" t="e">
        <f>INDEX(TBL_Manually_added_tariffs[ActivityType],MATCH(Additional_Inv_Proc_Tariff_List,TBL_Manually_added_tariffs[Activity],0))</f>
        <v>#N/A</v>
      </c>
      <c r="C209" s="158"/>
      <c r="D209" s="158"/>
      <c r="E209" s="35" t="e">
        <f>INDEX(TBL_Manually_added_tariffs[Cost (IF INVESTIGATION)],MATCH(Additional_Inv_Proc_Tariff_List,TBL_Manually_added_tariffs[Activity],0))</f>
        <v>#N/A</v>
      </c>
      <c r="F209" s="183"/>
    </row>
    <row r="210" spans="1:6" ht="15" hidden="1" x14ac:dyDescent="0.25">
      <c r="A210" s="38" t="e">
        <f>INDEX(Non_Tariff_Cost,MATCH(0,INDEX(COUNTIF($A$205:A209,Non_Tariff_Cost),0,0),0))</f>
        <v>#N/A</v>
      </c>
      <c r="B210" s="288" t="e">
        <f>INDEX(TBL_Manually_added_tariffs[ActivityType],MATCH(Additional_Inv_Proc_Tariff_List,TBL_Manually_added_tariffs[Activity],0))</f>
        <v>#N/A</v>
      </c>
      <c r="C210" s="158"/>
      <c r="D210" s="158"/>
      <c r="E210" s="35" t="e">
        <f>INDEX(TBL_Manually_added_tariffs[Cost (IF INVESTIGATION)],MATCH(Additional_Inv_Proc_Tariff_List,TBL_Manually_added_tariffs[Activity],0))</f>
        <v>#N/A</v>
      </c>
      <c r="F210" s="183"/>
    </row>
    <row r="211" spans="1:6" ht="15" hidden="1" x14ac:dyDescent="0.25">
      <c r="A211" s="38" t="e">
        <f>INDEX(Non_Tariff_Cost,MATCH(0,INDEX(COUNTIF($A$205:A210,Non_Tariff_Cost),0,0),0))</f>
        <v>#N/A</v>
      </c>
      <c r="B211" s="288" t="e">
        <f>INDEX(TBL_Manually_added_tariffs[ActivityType],MATCH(Additional_Inv_Proc_Tariff_List,TBL_Manually_added_tariffs[Activity],0))</f>
        <v>#N/A</v>
      </c>
      <c r="C211" s="158"/>
      <c r="D211" s="158"/>
      <c r="E211" s="35" t="e">
        <f>INDEX(TBL_Manually_added_tariffs[Cost (IF INVESTIGATION)],MATCH(Additional_Inv_Proc_Tariff_List,TBL_Manually_added_tariffs[Activity],0))</f>
        <v>#N/A</v>
      </c>
      <c r="F211" s="183"/>
    </row>
    <row r="212" spans="1:6" ht="15" hidden="1" x14ac:dyDescent="0.25">
      <c r="A212" s="38" t="e">
        <f>INDEX(Non_Tariff_Cost,MATCH(0,INDEX(COUNTIF($A$205:A211,Non_Tariff_Cost),0,0),0))</f>
        <v>#N/A</v>
      </c>
      <c r="B212" s="288" t="e">
        <f>INDEX(TBL_Manually_added_tariffs[ActivityType],MATCH(Additional_Inv_Proc_Tariff_List,TBL_Manually_added_tariffs[Activity],0))</f>
        <v>#N/A</v>
      </c>
      <c r="C212" s="158"/>
      <c r="D212" s="158"/>
      <c r="E212" s="35" t="e">
        <f>INDEX(TBL_Manually_added_tariffs[Cost (IF INVESTIGATION)],MATCH(Additional_Inv_Proc_Tariff_List,TBL_Manually_added_tariffs[Activity],0))</f>
        <v>#N/A</v>
      </c>
      <c r="F212" s="183"/>
    </row>
    <row r="213" spans="1:6" ht="15" hidden="1" x14ac:dyDescent="0.25">
      <c r="A213" s="38" t="e">
        <f>INDEX(Non_Tariff_Cost,MATCH(0,INDEX(COUNTIF($A$205:A212,Non_Tariff_Cost),0,0),0))</f>
        <v>#N/A</v>
      </c>
      <c r="B213" s="288" t="e">
        <f>INDEX(TBL_Manually_added_tariffs[ActivityType],MATCH(Additional_Inv_Proc_Tariff_List,TBL_Manually_added_tariffs[Activity],0))</f>
        <v>#N/A</v>
      </c>
      <c r="C213" s="158"/>
      <c r="D213" s="158"/>
      <c r="E213" s="35" t="e">
        <f>INDEX(TBL_Manually_added_tariffs[Cost (IF INVESTIGATION)],MATCH(Additional_Inv_Proc_Tariff_List,TBL_Manually_added_tariffs[Activity],0))</f>
        <v>#N/A</v>
      </c>
      <c r="F213" s="183"/>
    </row>
    <row r="214" spans="1:6" ht="15" hidden="1" x14ac:dyDescent="0.25">
      <c r="A214" s="38" t="e">
        <f>INDEX(Non_Tariff_Cost,MATCH(0,INDEX(COUNTIF($A$205:A213,Non_Tariff_Cost),0,0),0))</f>
        <v>#N/A</v>
      </c>
      <c r="B214" s="288" t="e">
        <f>INDEX(TBL_Manually_added_tariffs[ActivityType],MATCH(Additional_Inv_Proc_Tariff_List,TBL_Manually_added_tariffs[Activity],0))</f>
        <v>#N/A</v>
      </c>
      <c r="C214" s="158"/>
      <c r="D214" s="158"/>
      <c r="E214" s="35" t="e">
        <f>INDEX(TBL_Manually_added_tariffs[Cost (IF INVESTIGATION)],MATCH(Additional_Inv_Proc_Tariff_List,TBL_Manually_added_tariffs[Activity],0))</f>
        <v>#N/A</v>
      </c>
      <c r="F214" s="183"/>
    </row>
    <row r="215" spans="1:6" ht="15" hidden="1" x14ac:dyDescent="0.25">
      <c r="A215" s="38" t="e">
        <f>INDEX(Non_Tariff_Cost,MATCH(0,INDEX(COUNTIF($A$205:A214,Non_Tariff_Cost),0,0),0))</f>
        <v>#N/A</v>
      </c>
      <c r="B215" s="288" t="e">
        <f>INDEX(TBL_Manually_added_tariffs[ActivityType],MATCH(Additional_Inv_Proc_Tariff_List,TBL_Manually_added_tariffs[Activity],0))</f>
        <v>#N/A</v>
      </c>
      <c r="C215" s="158"/>
      <c r="D215" s="158"/>
      <c r="E215" s="35" t="e">
        <f>INDEX(TBL_Manually_added_tariffs[Cost (IF INVESTIGATION)],MATCH(Additional_Inv_Proc_Tariff_List,TBL_Manually_added_tariffs[Activity],0))</f>
        <v>#N/A</v>
      </c>
      <c r="F215" s="183"/>
    </row>
    <row r="216" spans="1:6" ht="15" hidden="1" x14ac:dyDescent="0.25">
      <c r="A216" s="38" t="e">
        <f>INDEX(Non_Tariff_Cost,MATCH(0,INDEX(COUNTIF($A$205:A215,Non_Tariff_Cost),0,0),0))</f>
        <v>#N/A</v>
      </c>
      <c r="B216" s="288" t="e">
        <f>INDEX(TBL_Manually_added_tariffs[ActivityType],MATCH(Additional_Inv_Proc_Tariff_List,TBL_Manually_added_tariffs[Activity],0))</f>
        <v>#N/A</v>
      </c>
      <c r="C216" s="158"/>
      <c r="D216" s="158"/>
      <c r="E216" s="35" t="e">
        <f>INDEX(TBL_Manually_added_tariffs[Cost (IF INVESTIGATION)],MATCH(Additional_Inv_Proc_Tariff_List,TBL_Manually_added_tariffs[Activity],0))</f>
        <v>#N/A</v>
      </c>
      <c r="F216" s="183"/>
    </row>
    <row r="217" spans="1:6" ht="15" hidden="1" x14ac:dyDescent="0.25">
      <c r="A217" s="38" t="e">
        <f>INDEX(Non_Tariff_Cost,MATCH(0,INDEX(COUNTIF($A$205:A216,Non_Tariff_Cost),0,0),0))</f>
        <v>#N/A</v>
      </c>
      <c r="B217" s="288" t="e">
        <f>INDEX(TBL_Manually_added_tariffs[ActivityType],MATCH(Additional_Inv_Proc_Tariff_List,TBL_Manually_added_tariffs[Activity],0))</f>
        <v>#N/A</v>
      </c>
      <c r="C217" s="158"/>
      <c r="D217" s="158"/>
      <c r="E217" s="35" t="e">
        <f>INDEX(TBL_Manually_added_tariffs[Cost (IF INVESTIGATION)],MATCH(Additional_Inv_Proc_Tariff_List,TBL_Manually_added_tariffs[Activity],0))</f>
        <v>#N/A</v>
      </c>
      <c r="F217" s="183"/>
    </row>
    <row r="218" spans="1:6" ht="15" hidden="1" x14ac:dyDescent="0.25">
      <c r="A218" s="38" t="e">
        <f>INDEX(Non_Tariff_Cost,MATCH(0,INDEX(COUNTIF($A$205:A217,Non_Tariff_Cost),0,0),0))</f>
        <v>#N/A</v>
      </c>
      <c r="B218" s="288" t="e">
        <f>INDEX(TBL_Manually_added_tariffs[ActivityType],MATCH(Additional_Inv_Proc_Tariff_List,TBL_Manually_added_tariffs[Activity],0))</f>
        <v>#N/A</v>
      </c>
      <c r="C218" s="158"/>
      <c r="D218" s="158"/>
      <c r="E218" s="35" t="e">
        <f>INDEX(TBL_Manually_added_tariffs[Cost (IF INVESTIGATION)],MATCH(Additional_Inv_Proc_Tariff_List,TBL_Manually_added_tariffs[Activity],0))</f>
        <v>#N/A</v>
      </c>
      <c r="F218" s="183"/>
    </row>
    <row r="219" spans="1:6" ht="15" hidden="1" x14ac:dyDescent="0.25">
      <c r="A219" s="38" t="e">
        <f>INDEX(Non_Tariff_Cost,MATCH(0,INDEX(COUNTIF($A$205:A218,Non_Tariff_Cost),0,0),0))</f>
        <v>#N/A</v>
      </c>
      <c r="B219" s="288" t="e">
        <f>INDEX(TBL_Manually_added_tariffs[ActivityType],MATCH(Additional_Inv_Proc_Tariff_List,TBL_Manually_added_tariffs[Activity],0))</f>
        <v>#N/A</v>
      </c>
      <c r="C219" s="158"/>
      <c r="D219" s="158"/>
      <c r="E219" s="35" t="e">
        <f>INDEX(TBL_Manually_added_tariffs[Cost (IF INVESTIGATION)],MATCH(Additional_Inv_Proc_Tariff_List,TBL_Manually_added_tariffs[Activity],0))</f>
        <v>#N/A</v>
      </c>
      <c r="F219" s="183"/>
    </row>
    <row r="220" spans="1:6" ht="15" hidden="1" x14ac:dyDescent="0.25">
      <c r="A220" s="38" t="e">
        <f>INDEX(Non_Tariff_Cost,MATCH(0,INDEX(COUNTIF($A$205:A219,Non_Tariff_Cost),0,0),0))</f>
        <v>#N/A</v>
      </c>
      <c r="B220" s="288" t="e">
        <f>INDEX(TBL_Manually_added_tariffs[ActivityType],MATCH(Additional_Inv_Proc_Tariff_List,TBL_Manually_added_tariffs[Activity],0))</f>
        <v>#N/A</v>
      </c>
      <c r="C220" s="158"/>
      <c r="D220" s="158"/>
      <c r="E220" s="35" t="e">
        <f>INDEX(TBL_Manually_added_tariffs[Cost (IF INVESTIGATION)],MATCH(Additional_Inv_Proc_Tariff_List,TBL_Manually_added_tariffs[Activity],0))</f>
        <v>#N/A</v>
      </c>
      <c r="F220" s="183"/>
    </row>
    <row r="221" spans="1:6" ht="15" hidden="1" x14ac:dyDescent="0.25">
      <c r="A221" s="38" t="e">
        <f>INDEX(Non_Tariff_Cost,MATCH(0,INDEX(COUNTIF($A$205:A220,Non_Tariff_Cost),0,0),0))</f>
        <v>#N/A</v>
      </c>
      <c r="B221" s="288" t="e">
        <f>INDEX(TBL_Manually_added_tariffs[ActivityType],MATCH(Additional_Inv_Proc_Tariff_List,TBL_Manually_added_tariffs[Activity],0))</f>
        <v>#N/A</v>
      </c>
      <c r="C221" s="158"/>
      <c r="D221" s="158"/>
      <c r="E221" s="35" t="e">
        <f>INDEX(TBL_Manually_added_tariffs[Cost (IF INVESTIGATION)],MATCH(Additional_Inv_Proc_Tariff_List,TBL_Manually_added_tariffs[Activity],0))</f>
        <v>#N/A</v>
      </c>
      <c r="F221" s="183"/>
    </row>
    <row r="222" spans="1:6" ht="15" hidden="1" x14ac:dyDescent="0.25">
      <c r="A222" s="38" t="e">
        <f>INDEX(Non_Tariff_Cost,MATCH(0,INDEX(COUNTIF($A$205:A221,Non_Tariff_Cost),0,0),0))</f>
        <v>#N/A</v>
      </c>
      <c r="B222" s="288" t="e">
        <f>INDEX(TBL_Manually_added_tariffs[ActivityType],MATCH(Additional_Inv_Proc_Tariff_List,TBL_Manually_added_tariffs[Activity],0))</f>
        <v>#N/A</v>
      </c>
      <c r="C222" s="158"/>
      <c r="D222" s="158"/>
      <c r="E222" s="35" t="e">
        <f>INDEX(TBL_Manually_added_tariffs[Cost (IF INVESTIGATION)],MATCH(Additional_Inv_Proc_Tariff_List,TBL_Manually_added_tariffs[Activity],0))</f>
        <v>#N/A</v>
      </c>
      <c r="F222" s="183"/>
    </row>
    <row r="223" spans="1:6" ht="15" hidden="1" x14ac:dyDescent="0.25">
      <c r="A223" s="38" t="e">
        <f>INDEX(Non_Tariff_Cost,MATCH(0,INDEX(COUNTIF($A$205:A222,Non_Tariff_Cost),0,0),0))</f>
        <v>#N/A</v>
      </c>
      <c r="B223" s="288" t="e">
        <f>INDEX(TBL_Manually_added_tariffs[ActivityType],MATCH(Additional_Inv_Proc_Tariff_List,TBL_Manually_added_tariffs[Activity],0))</f>
        <v>#N/A</v>
      </c>
      <c r="C223" s="158"/>
      <c r="D223" s="158"/>
      <c r="E223" s="35" t="e">
        <f>INDEX(TBL_Manually_added_tariffs[Cost (IF INVESTIGATION)],MATCH(Additional_Inv_Proc_Tariff_List,TBL_Manually_added_tariffs[Activity],0))</f>
        <v>#N/A</v>
      </c>
      <c r="F223" s="183"/>
    </row>
    <row r="224" spans="1:6" ht="15" hidden="1" x14ac:dyDescent="0.25">
      <c r="A224" s="38" t="e">
        <f>INDEX(Non_Tariff_Cost,MATCH(0,INDEX(COUNTIF($A$205:A223,Non_Tariff_Cost),0,0),0))</f>
        <v>#N/A</v>
      </c>
      <c r="B224" s="288" t="e">
        <f>INDEX(TBL_Manually_added_tariffs[ActivityType],MATCH(Additional_Inv_Proc_Tariff_List,TBL_Manually_added_tariffs[Activity],0))</f>
        <v>#N/A</v>
      </c>
      <c r="C224" s="158"/>
      <c r="D224" s="158"/>
      <c r="E224" s="35" t="e">
        <f>INDEX(TBL_Manually_added_tariffs[Cost (IF INVESTIGATION)],MATCH(Additional_Inv_Proc_Tariff_List,TBL_Manually_added_tariffs[Activity],0))</f>
        <v>#N/A</v>
      </c>
      <c r="F224" s="183"/>
    </row>
    <row r="225" spans="1:6" ht="15" hidden="1" x14ac:dyDescent="0.25">
      <c r="A225" s="38" t="e">
        <f>INDEX(Non_Tariff_Cost,MATCH(0,INDEX(COUNTIF($A$205:A224,Non_Tariff_Cost),0,0),0))</f>
        <v>#N/A</v>
      </c>
      <c r="B225" s="288" t="e">
        <f>INDEX(TBL_Manually_added_tariffs[ActivityType],MATCH(Additional_Inv_Proc_Tariff_List,TBL_Manually_added_tariffs[Activity],0))</f>
        <v>#N/A</v>
      </c>
      <c r="C225" s="158"/>
      <c r="D225" s="158"/>
      <c r="E225" s="35" t="e">
        <f>INDEX(TBL_Manually_added_tariffs[Cost (IF INVESTIGATION)],MATCH(Additional_Inv_Proc_Tariff_List,TBL_Manually_added_tariffs[Activity],0))</f>
        <v>#N/A</v>
      </c>
      <c r="F225" s="183"/>
    </row>
    <row r="226" spans="1:6" ht="15" hidden="1" x14ac:dyDescent="0.25">
      <c r="A226" s="38" t="e">
        <f>INDEX(Non_Tariff_Cost,MATCH(0,INDEX(COUNTIF($A$205:A225,Non_Tariff_Cost),0,0),0))</f>
        <v>#N/A</v>
      </c>
      <c r="B226" s="288" t="e">
        <f>INDEX(TBL_Manually_added_tariffs[ActivityType],MATCH(Additional_Inv_Proc_Tariff_List,TBL_Manually_added_tariffs[Activity],0))</f>
        <v>#N/A</v>
      </c>
      <c r="C226" s="158"/>
      <c r="D226" s="158"/>
      <c r="E226" s="35" t="e">
        <f>INDEX(TBL_Manually_added_tariffs[Cost (IF INVESTIGATION)],MATCH(Additional_Inv_Proc_Tariff_List,TBL_Manually_added_tariffs[Activity],0))</f>
        <v>#N/A</v>
      </c>
      <c r="F226" s="183"/>
    </row>
    <row r="227" spans="1:6" ht="15" hidden="1" x14ac:dyDescent="0.25">
      <c r="A227" s="38" t="e">
        <f>INDEX(Non_Tariff_Cost,MATCH(0,INDEX(COUNTIF($A$205:A226,Non_Tariff_Cost),0,0),0))</f>
        <v>#N/A</v>
      </c>
      <c r="B227" s="288" t="e">
        <f>INDEX(TBL_Manually_added_tariffs[ActivityType],MATCH(Additional_Inv_Proc_Tariff_List,TBL_Manually_added_tariffs[Activity],0))</f>
        <v>#N/A</v>
      </c>
      <c r="C227" s="158"/>
      <c r="D227" s="158"/>
      <c r="E227" s="35" t="e">
        <f>INDEX(TBL_Manually_added_tariffs[Cost (IF INVESTIGATION)],MATCH(Additional_Inv_Proc_Tariff_List,TBL_Manually_added_tariffs[Activity],0))</f>
        <v>#N/A</v>
      </c>
      <c r="F227" s="183"/>
    </row>
    <row r="228" spans="1:6" ht="15" hidden="1" x14ac:dyDescent="0.25">
      <c r="A228" s="38" t="e">
        <f>INDEX(Non_Tariff_Cost,MATCH(0,INDEX(COUNTIF($A$205:A227,Non_Tariff_Cost),0,0),0))</f>
        <v>#N/A</v>
      </c>
      <c r="B228" s="288" t="e">
        <f>INDEX(TBL_Manually_added_tariffs[ActivityType],MATCH(Additional_Inv_Proc_Tariff_List,TBL_Manually_added_tariffs[Activity],0))</f>
        <v>#N/A</v>
      </c>
      <c r="C228" s="158"/>
      <c r="D228" s="158"/>
      <c r="E228" s="35" t="e">
        <f>INDEX(TBL_Manually_added_tariffs[Cost (IF INVESTIGATION)],MATCH(Additional_Inv_Proc_Tariff_List,TBL_Manually_added_tariffs[Activity],0))</f>
        <v>#N/A</v>
      </c>
      <c r="F228" s="183"/>
    </row>
    <row r="229" spans="1:6" ht="15" hidden="1" x14ac:dyDescent="0.25">
      <c r="A229" s="38" t="e">
        <f>INDEX(Non_Tariff_Cost,MATCH(0,INDEX(COUNTIF($A$205:A228,Non_Tariff_Cost),0,0),0))</f>
        <v>#N/A</v>
      </c>
      <c r="B229" s="288" t="e">
        <f>INDEX(TBL_Manually_added_tariffs[ActivityType],MATCH(Additional_Inv_Proc_Tariff_List,TBL_Manually_added_tariffs[Activity],0))</f>
        <v>#N/A</v>
      </c>
      <c r="C229" s="158"/>
      <c r="D229" s="158"/>
      <c r="E229" s="35" t="e">
        <f>INDEX(TBL_Manually_added_tariffs[Cost (IF INVESTIGATION)],MATCH(Additional_Inv_Proc_Tariff_List,TBL_Manually_added_tariffs[Activity],0))</f>
        <v>#N/A</v>
      </c>
      <c r="F229" s="183"/>
    </row>
    <row r="230" spans="1:6" ht="15" hidden="1" x14ac:dyDescent="0.25">
      <c r="A230" s="38" t="e">
        <f>INDEX(Non_Tariff_Cost,MATCH(0,INDEX(COUNTIF($A$205:A229,Non_Tariff_Cost),0,0),0))</f>
        <v>#N/A</v>
      </c>
      <c r="B230" s="288" t="e">
        <f>INDEX(TBL_Manually_added_tariffs[ActivityType],MATCH(Additional_Inv_Proc_Tariff_List,TBL_Manually_added_tariffs[Activity],0))</f>
        <v>#N/A</v>
      </c>
      <c r="C230" s="158"/>
      <c r="D230" s="158"/>
      <c r="E230" s="35" t="e">
        <f>INDEX(TBL_Manually_added_tariffs[Cost (IF INVESTIGATION)],MATCH(Additional_Inv_Proc_Tariff_List,TBL_Manually_added_tariffs[Activity],0))</f>
        <v>#N/A</v>
      </c>
      <c r="F230" s="183"/>
    </row>
    <row r="231" spans="1:6" ht="15" hidden="1" x14ac:dyDescent="0.25">
      <c r="A231" s="38" t="e">
        <f>INDEX(Non_Tariff_Cost,MATCH(0,INDEX(COUNTIF($A$205:A230,Non_Tariff_Cost),0,0),0))</f>
        <v>#N/A</v>
      </c>
      <c r="B231" s="288" t="e">
        <f>INDEX(TBL_Manually_added_tariffs[ActivityType],MATCH(Additional_Inv_Proc_Tariff_List,TBL_Manually_added_tariffs[Activity],0))</f>
        <v>#N/A</v>
      </c>
      <c r="C231" s="158"/>
      <c r="D231" s="158"/>
      <c r="E231" s="35" t="e">
        <f>INDEX(TBL_Manually_added_tariffs[Cost (IF INVESTIGATION)],MATCH(Additional_Inv_Proc_Tariff_List,TBL_Manually_added_tariffs[Activity],0))</f>
        <v>#N/A</v>
      </c>
      <c r="F231" s="183"/>
    </row>
    <row r="232" spans="1:6" ht="15" hidden="1" x14ac:dyDescent="0.25">
      <c r="A232" s="38" t="e">
        <f>INDEX(Non_Tariff_Cost,MATCH(0,INDEX(COUNTIF($A$205:A231,Non_Tariff_Cost),0,0),0))</f>
        <v>#N/A</v>
      </c>
      <c r="B232" s="288" t="e">
        <f>INDEX(TBL_Manually_added_tariffs[ActivityType],MATCH(Additional_Inv_Proc_Tariff_List,TBL_Manually_added_tariffs[Activity],0))</f>
        <v>#N/A</v>
      </c>
      <c r="C232" s="158"/>
      <c r="D232" s="158"/>
      <c r="E232" s="35" t="e">
        <f>INDEX(TBL_Manually_added_tariffs[Cost (IF INVESTIGATION)],MATCH(Additional_Inv_Proc_Tariff_List,TBL_Manually_added_tariffs[Activity],0))</f>
        <v>#N/A</v>
      </c>
      <c r="F232" s="183"/>
    </row>
    <row r="233" spans="1:6" ht="15" hidden="1" x14ac:dyDescent="0.25">
      <c r="A233" s="38" t="e">
        <f>INDEX(Non_Tariff_Cost,MATCH(0,INDEX(COUNTIF($A$205:A232,Non_Tariff_Cost),0,0),0))</f>
        <v>#N/A</v>
      </c>
      <c r="B233" s="288" t="e">
        <f>INDEX(TBL_Manually_added_tariffs[ActivityType],MATCH(Additional_Inv_Proc_Tariff_List,TBL_Manually_added_tariffs[Activity],0))</f>
        <v>#N/A</v>
      </c>
      <c r="C233" s="158"/>
      <c r="D233" s="158"/>
      <c r="E233" s="35" t="e">
        <f>INDEX(TBL_Manually_added_tariffs[Cost (IF INVESTIGATION)],MATCH(Additional_Inv_Proc_Tariff_List,TBL_Manually_added_tariffs[Activity],0))</f>
        <v>#N/A</v>
      </c>
      <c r="F233" s="183"/>
    </row>
    <row r="234" spans="1:6" ht="15" hidden="1" x14ac:dyDescent="0.25">
      <c r="A234" s="38" t="e">
        <f>INDEX(Non_Tariff_Cost,MATCH(0,INDEX(COUNTIF($A$205:A233,Non_Tariff_Cost),0,0),0))</f>
        <v>#N/A</v>
      </c>
      <c r="B234" s="288" t="e">
        <f>INDEX(TBL_Manually_added_tariffs[ActivityType],MATCH(Additional_Inv_Proc_Tariff_List,TBL_Manually_added_tariffs[Activity],0))</f>
        <v>#N/A</v>
      </c>
      <c r="C234" s="158"/>
      <c r="D234" s="158"/>
      <c r="E234" s="35" t="e">
        <f>INDEX(TBL_Manually_added_tariffs[Cost (IF INVESTIGATION)],MATCH(Additional_Inv_Proc_Tariff_List,TBL_Manually_added_tariffs[Activity],0))</f>
        <v>#N/A</v>
      </c>
      <c r="F234" s="183"/>
    </row>
    <row r="235" spans="1:6" ht="15" hidden="1" x14ac:dyDescent="0.25">
      <c r="A235" s="38" t="e">
        <f>INDEX(Non_Tariff_Cost,MATCH(0,INDEX(COUNTIF($A$205:A234,Non_Tariff_Cost),0,0),0))</f>
        <v>#N/A</v>
      </c>
      <c r="B235" s="288" t="e">
        <f>INDEX(TBL_Manually_added_tariffs[ActivityType],MATCH(Additional_Inv_Proc_Tariff_List,TBL_Manually_added_tariffs[Activity],0))</f>
        <v>#N/A</v>
      </c>
      <c r="C235" s="158"/>
      <c r="D235" s="158"/>
      <c r="E235" s="35" t="e">
        <f>INDEX(TBL_Manually_added_tariffs[Cost (IF INVESTIGATION)],MATCH(Additional_Inv_Proc_Tariff_List,TBL_Manually_added_tariffs[Activity],0))</f>
        <v>#N/A</v>
      </c>
      <c r="F235" s="183"/>
    </row>
    <row r="236" spans="1:6" ht="15" hidden="1" x14ac:dyDescent="0.25">
      <c r="A236" s="38" t="e">
        <f>INDEX(Non_Tariff_Cost,MATCH(0,INDEX(COUNTIF($A$205:A235,Non_Tariff_Cost),0,0),0))</f>
        <v>#N/A</v>
      </c>
      <c r="B236" s="288" t="e">
        <f>INDEX(TBL_Manually_added_tariffs[ActivityType],MATCH(Additional_Inv_Proc_Tariff_List,TBL_Manually_added_tariffs[Activity],0))</f>
        <v>#N/A</v>
      </c>
      <c r="C236" s="158"/>
      <c r="D236" s="158"/>
      <c r="E236" s="35" t="e">
        <f>INDEX(TBL_Manually_added_tariffs[Cost (IF INVESTIGATION)],MATCH(Additional_Inv_Proc_Tariff_List,TBL_Manually_added_tariffs[Activity],0))</f>
        <v>#N/A</v>
      </c>
      <c r="F236" s="183"/>
    </row>
    <row r="237" spans="1:6" ht="15" hidden="1" x14ac:dyDescent="0.25">
      <c r="A237" s="38" t="e">
        <f>INDEX(Non_Tariff_Cost,MATCH(0,INDEX(COUNTIF($A$205:A236,Non_Tariff_Cost),0,0),0))</f>
        <v>#N/A</v>
      </c>
      <c r="B237" s="288" t="e">
        <f>INDEX(TBL_Manually_added_tariffs[ActivityType],MATCH(Additional_Inv_Proc_Tariff_List,TBL_Manually_added_tariffs[Activity],0))</f>
        <v>#N/A</v>
      </c>
      <c r="C237" s="158"/>
      <c r="D237" s="158"/>
      <c r="E237" s="35" t="e">
        <f>INDEX(TBL_Manually_added_tariffs[Cost (IF INVESTIGATION)],MATCH(Additional_Inv_Proc_Tariff_List,TBL_Manually_added_tariffs[Activity],0))</f>
        <v>#N/A</v>
      </c>
      <c r="F237" s="183"/>
    </row>
    <row r="238" spans="1:6" ht="15" hidden="1" x14ac:dyDescent="0.25">
      <c r="A238" s="38" t="e">
        <f>INDEX(Non_Tariff_Cost,MATCH(0,INDEX(COUNTIF($A$205:A237,Non_Tariff_Cost),0,0),0))</f>
        <v>#N/A</v>
      </c>
      <c r="B238" s="288" t="e">
        <f>INDEX(TBL_Manually_added_tariffs[ActivityType],MATCH(Additional_Inv_Proc_Tariff_List,TBL_Manually_added_tariffs[Activity],0))</f>
        <v>#N/A</v>
      </c>
      <c r="C238" s="158"/>
      <c r="D238" s="158"/>
      <c r="E238" s="35" t="e">
        <f>INDEX(TBL_Manually_added_tariffs[Cost (IF INVESTIGATION)],MATCH(Additional_Inv_Proc_Tariff_List,TBL_Manually_added_tariffs[Activity],0))</f>
        <v>#N/A</v>
      </c>
      <c r="F238" s="183"/>
    </row>
    <row r="239" spans="1:6" ht="15" hidden="1" x14ac:dyDescent="0.25">
      <c r="A239" s="38" t="e">
        <f>INDEX(Non_Tariff_Cost,MATCH(0,INDEX(COUNTIF($A$205:A238,Non_Tariff_Cost),0,0),0))</f>
        <v>#N/A</v>
      </c>
      <c r="B239" s="288" t="e">
        <f>INDEX(TBL_Manually_added_tariffs[ActivityType],MATCH(Additional_Inv_Proc_Tariff_List,TBL_Manually_added_tariffs[Activity],0))</f>
        <v>#N/A</v>
      </c>
      <c r="C239" s="158"/>
      <c r="D239" s="158"/>
      <c r="E239" s="35" t="e">
        <f>INDEX(TBL_Manually_added_tariffs[Cost (IF INVESTIGATION)],MATCH(Additional_Inv_Proc_Tariff_List,TBL_Manually_added_tariffs[Activity],0))</f>
        <v>#N/A</v>
      </c>
      <c r="F239" s="183"/>
    </row>
    <row r="240" spans="1:6" hidden="1" x14ac:dyDescent="0.2">
      <c r="A240" s="38" t="e">
        <f>INDEX(Non_Tariff_Cost,MATCH(0,INDEX(COUNTIF($A$205:A239,Non_Tariff_Cost),0,0),0))</f>
        <v>#N/A</v>
      </c>
      <c r="B240" s="288" t="e">
        <f>INDEX(TBL_Manually_added_tariffs[ActivityType],MATCH(Additional_Inv_Proc_Tariff_List,TBL_Manually_added_tariffs[Activity],0))</f>
        <v>#N/A</v>
      </c>
      <c r="C240" s="158"/>
      <c r="D240" s="158"/>
      <c r="E240" s="35" t="e">
        <f>INDEX(TBL_Manually_added_tariffs[Cost (IF INVESTIGATION)],MATCH(Additional_Inv_Proc_Tariff_List,TBL_Manually_added_tariffs[Activity],0))</f>
        <v>#N/A</v>
      </c>
      <c r="F240" s="181"/>
    </row>
    <row r="241" spans="1:6" hidden="1" x14ac:dyDescent="0.2">
      <c r="A241" s="38" t="e">
        <f>INDEX(Non_Tariff_Cost,MATCH(0,INDEX(COUNTIF($A$205:A240,Non_Tariff_Cost),0,0),0))</f>
        <v>#N/A</v>
      </c>
      <c r="B241" s="288" t="e">
        <f>INDEX(TBL_Manually_added_tariffs[ActivityType],MATCH(Additional_Inv_Proc_Tariff_List,TBL_Manually_added_tariffs[Activity],0))</f>
        <v>#N/A</v>
      </c>
      <c r="C241" s="158"/>
      <c r="D241" s="158"/>
      <c r="E241" s="35" t="e">
        <f>INDEX(TBL_Manually_added_tariffs[Cost (IF INVESTIGATION)],MATCH(Additional_Inv_Proc_Tariff_List,TBL_Manually_added_tariffs[Activity],0))</f>
        <v>#N/A</v>
      </c>
      <c r="F241" s="181"/>
    </row>
    <row r="242" spans="1:6" hidden="1" x14ac:dyDescent="0.2">
      <c r="A242" s="38" t="e">
        <f>INDEX(Non_Tariff_Cost,MATCH(0,INDEX(COUNTIF($A$205:A241,Non_Tariff_Cost),0,0),0))</f>
        <v>#N/A</v>
      </c>
      <c r="B242" s="288" t="e">
        <f>INDEX(TBL_Manually_added_tariffs[ActivityType],MATCH(Additional_Inv_Proc_Tariff_List,TBL_Manually_added_tariffs[Activity],0))</f>
        <v>#N/A</v>
      </c>
      <c r="C242" s="158"/>
      <c r="D242" s="158"/>
      <c r="E242" s="35" t="e">
        <f>INDEX(TBL_Manually_added_tariffs[Cost (IF INVESTIGATION)],MATCH(Additional_Inv_Proc_Tariff_List,TBL_Manually_added_tariffs[Activity],0))</f>
        <v>#N/A</v>
      </c>
      <c r="F242" s="181"/>
    </row>
    <row r="243" spans="1:6" hidden="1" x14ac:dyDescent="0.2">
      <c r="A243" s="38" t="e">
        <f>INDEX(Non_Tariff_Cost,MATCH(0,INDEX(COUNTIF($A$205:A242,Non_Tariff_Cost),0,0),0))</f>
        <v>#N/A</v>
      </c>
      <c r="B243" s="288" t="e">
        <f>INDEX(TBL_Manually_added_tariffs[ActivityType],MATCH(Additional_Inv_Proc_Tariff_List,TBL_Manually_added_tariffs[Activity],0))</f>
        <v>#N/A</v>
      </c>
      <c r="C243" s="156"/>
      <c r="D243" s="156"/>
      <c r="E243" s="35" t="e">
        <f>INDEX(TBL_Manually_added_tariffs[Cost (IF INVESTIGATION)],MATCH(Additional_Inv_Proc_Tariff_List,TBL_Manually_added_tariffs[Activity],0))</f>
        <v>#N/A</v>
      </c>
      <c r="F243" s="181"/>
    </row>
    <row r="244" spans="1:6" hidden="1" x14ac:dyDescent="0.2">
      <c r="A244" s="38" t="e">
        <f>INDEX(Non_Tariff_Cost,MATCH(0,INDEX(COUNTIF($A$205:A243,Non_Tariff_Cost),0,0),0))</f>
        <v>#N/A</v>
      </c>
      <c r="B244" s="288" t="e">
        <f>INDEX(TBL_Manually_added_tariffs[ActivityType],MATCH(Additional_Inv_Proc_Tariff_List,TBL_Manually_added_tariffs[Activity],0))</f>
        <v>#N/A</v>
      </c>
      <c r="C244" s="156"/>
      <c r="D244" s="156"/>
      <c r="E244" s="35" t="e">
        <f>INDEX(TBL_Manually_added_tariffs[Cost (IF INVESTIGATION)],MATCH(Additional_Inv_Proc_Tariff_List,TBL_Manually_added_tariffs[Activity],0))</f>
        <v>#N/A</v>
      </c>
      <c r="F244" s="181"/>
    </row>
    <row r="245" spans="1:6" hidden="1" x14ac:dyDescent="0.2">
      <c r="A245" s="38" t="e">
        <f>INDEX(Non_Tariff_Cost,MATCH(0,INDEX(COUNTIF($A$205:A244,Non_Tariff_Cost),0,0),0))</f>
        <v>#N/A</v>
      </c>
      <c r="B245" s="288" t="e">
        <f>INDEX(TBL_Manually_added_tariffs[ActivityType],MATCH(Additional_Inv_Proc_Tariff_List,TBL_Manually_added_tariffs[Activity],0))</f>
        <v>#N/A</v>
      </c>
      <c r="C245" s="156"/>
      <c r="D245" s="156"/>
      <c r="E245" s="35" t="e">
        <f>INDEX(TBL_Manually_added_tariffs[Cost (IF INVESTIGATION)],MATCH(Additional_Inv_Proc_Tariff_List,TBL_Manually_added_tariffs[Activity],0))</f>
        <v>#N/A</v>
      </c>
      <c r="F245" s="181"/>
    </row>
    <row r="246" spans="1:6" hidden="1" x14ac:dyDescent="0.2">
      <c r="A246" s="38" t="e">
        <f>INDEX(Non_Tariff_Cost,MATCH(0,INDEX(COUNTIF($A$205:A245,Non_Tariff_Cost),0,0),0))</f>
        <v>#N/A</v>
      </c>
      <c r="B246" s="288" t="e">
        <f>INDEX(TBL_Manually_added_tariffs[ActivityType],MATCH(Additional_Inv_Proc_Tariff_List,TBL_Manually_added_tariffs[Activity],0))</f>
        <v>#N/A</v>
      </c>
      <c r="C246" s="156"/>
      <c r="D246" s="156"/>
      <c r="E246" s="35" t="e">
        <f>INDEX(TBL_Manually_added_tariffs[Cost (IF INVESTIGATION)],MATCH(Additional_Inv_Proc_Tariff_List,TBL_Manually_added_tariffs[Activity],0))</f>
        <v>#N/A</v>
      </c>
      <c r="F246" s="181"/>
    </row>
    <row r="247" spans="1:6" hidden="1" x14ac:dyDescent="0.2">
      <c r="A247" s="38" t="e">
        <f>INDEX(Non_Tariff_Cost,MATCH(0,INDEX(COUNTIF($A$205:A246,Non_Tariff_Cost),0,0),0))</f>
        <v>#N/A</v>
      </c>
      <c r="B247" s="288" t="e">
        <f>INDEX(TBL_Manually_added_tariffs[ActivityType],MATCH(Additional_Inv_Proc_Tariff_List,TBL_Manually_added_tariffs[Activity],0))</f>
        <v>#N/A</v>
      </c>
      <c r="C247" s="156"/>
      <c r="D247" s="156"/>
      <c r="E247" s="35" t="e">
        <f>INDEX(TBL_Manually_added_tariffs[Cost (IF INVESTIGATION)],MATCH(Additional_Inv_Proc_Tariff_List,TBL_Manually_added_tariffs[Activity],0))</f>
        <v>#N/A</v>
      </c>
      <c r="F247" s="181"/>
    </row>
    <row r="248" spans="1:6" hidden="1" x14ac:dyDescent="0.2">
      <c r="A248" s="38" t="e">
        <f>INDEX(Non_Tariff_Cost,MATCH(0,INDEX(COUNTIF($A$205:A247,Non_Tariff_Cost),0,0),0))</f>
        <v>#N/A</v>
      </c>
      <c r="B248" s="288" t="e">
        <f>INDEX(TBL_Manually_added_tariffs[ActivityType],MATCH(Additional_Inv_Proc_Tariff_List,TBL_Manually_added_tariffs[Activity],0))</f>
        <v>#N/A</v>
      </c>
      <c r="C248" s="156"/>
      <c r="D248" s="156"/>
      <c r="E248" s="35" t="e">
        <f>INDEX(TBL_Manually_added_tariffs[Cost (IF INVESTIGATION)],MATCH(Additional_Inv_Proc_Tariff_List,TBL_Manually_added_tariffs[Activity],0))</f>
        <v>#N/A</v>
      </c>
      <c r="F248" s="181"/>
    </row>
    <row r="249" spans="1:6" hidden="1" x14ac:dyDescent="0.2">
      <c r="A249" s="38" t="e">
        <f>INDEX(Non_Tariff_Cost,MATCH(0,INDEX(COUNTIF($A$205:A248,Non_Tariff_Cost),0,0),0))</f>
        <v>#N/A</v>
      </c>
      <c r="B249" s="288" t="e">
        <f>INDEX(TBL_Manually_added_tariffs[ActivityType],MATCH(Additional_Inv_Proc_Tariff_List,TBL_Manually_added_tariffs[Activity],0))</f>
        <v>#N/A</v>
      </c>
      <c r="C249" s="156"/>
      <c r="D249" s="156"/>
      <c r="E249" s="35" t="e">
        <f>INDEX(TBL_Manually_added_tariffs[Cost (IF INVESTIGATION)],MATCH(Additional_Inv_Proc_Tariff_List,TBL_Manually_added_tariffs[Activity],0))</f>
        <v>#N/A</v>
      </c>
      <c r="F249" s="181"/>
    </row>
    <row r="250" spans="1:6" hidden="1" x14ac:dyDescent="0.2">
      <c r="A250" s="38" t="e">
        <f>INDEX(Non_Tariff_Cost,MATCH(0,INDEX(COUNTIF($A$205:A249,Non_Tariff_Cost),0,0),0))</f>
        <v>#N/A</v>
      </c>
      <c r="B250" s="288" t="e">
        <f>INDEX(TBL_Manually_added_tariffs[ActivityType],MATCH(Additional_Inv_Proc_Tariff_List,TBL_Manually_added_tariffs[Activity],0))</f>
        <v>#N/A</v>
      </c>
      <c r="C250" s="156"/>
      <c r="D250" s="156"/>
      <c r="E250" s="35" t="e">
        <f>INDEX(TBL_Manually_added_tariffs[Cost (IF INVESTIGATION)],MATCH(Additional_Inv_Proc_Tariff_List,TBL_Manually_added_tariffs[Activity],0))</f>
        <v>#N/A</v>
      </c>
      <c r="F250" s="181"/>
    </row>
    <row r="251" spans="1:6" hidden="1" x14ac:dyDescent="0.2">
      <c r="A251" s="38" t="e">
        <f>INDEX(Non_Tariff_Cost,MATCH(0,INDEX(COUNTIF($A$205:A250,Non_Tariff_Cost),0,0),0))</f>
        <v>#N/A</v>
      </c>
      <c r="B251" s="288" t="e">
        <f>INDEX(TBL_Manually_added_tariffs[ActivityType],MATCH(Additional_Inv_Proc_Tariff_List,TBL_Manually_added_tariffs[Activity],0))</f>
        <v>#N/A</v>
      </c>
      <c r="C251" s="156"/>
      <c r="D251" s="156"/>
      <c r="E251" s="35" t="e">
        <f>INDEX(TBL_Manually_added_tariffs[Cost (IF INVESTIGATION)],MATCH(Additional_Inv_Proc_Tariff_List,TBL_Manually_added_tariffs[Activity],0))</f>
        <v>#N/A</v>
      </c>
      <c r="F251" s="181"/>
    </row>
    <row r="252" spans="1:6" hidden="1" x14ac:dyDescent="0.2">
      <c r="A252" s="38" t="e">
        <f>INDEX(Non_Tariff_Cost,MATCH(0,INDEX(COUNTIF($A$205:A251,Non_Tariff_Cost),0,0),0))</f>
        <v>#N/A</v>
      </c>
      <c r="B252" s="288" t="e">
        <f>INDEX(TBL_Manually_added_tariffs[ActivityType],MATCH(Additional_Inv_Proc_Tariff_List,TBL_Manually_added_tariffs[Activity],0))</f>
        <v>#N/A</v>
      </c>
      <c r="C252" s="156"/>
      <c r="D252" s="156"/>
      <c r="E252" s="35" t="e">
        <f>INDEX(TBL_Manually_added_tariffs[Cost (IF INVESTIGATION)],MATCH(Additional_Inv_Proc_Tariff_List,TBL_Manually_added_tariffs[Activity],0))</f>
        <v>#N/A</v>
      </c>
      <c r="F252" s="181"/>
    </row>
    <row r="253" spans="1:6" hidden="1" x14ac:dyDescent="0.2">
      <c r="A253" s="38" t="e">
        <f>INDEX(Non_Tariff_Cost,MATCH(0,INDEX(COUNTIF($A$205:A252,Non_Tariff_Cost),0,0),0))</f>
        <v>#N/A</v>
      </c>
      <c r="B253" s="288" t="e">
        <f>INDEX(TBL_Manually_added_tariffs[ActivityType],MATCH(Additional_Inv_Proc_Tariff_List,TBL_Manually_added_tariffs[Activity],0))</f>
        <v>#N/A</v>
      </c>
      <c r="C253" s="156"/>
      <c r="D253" s="156"/>
      <c r="E253" s="35" t="e">
        <f>INDEX(TBL_Manually_added_tariffs[Cost (IF INVESTIGATION)],MATCH(Additional_Inv_Proc_Tariff_List,TBL_Manually_added_tariffs[Activity],0))</f>
        <v>#N/A</v>
      </c>
      <c r="F253" s="181"/>
    </row>
    <row r="254" spans="1:6" hidden="1" x14ac:dyDescent="0.2">
      <c r="A254" s="38" t="e">
        <f>INDEX(Non_Tariff_Cost,MATCH(0,INDEX(COUNTIF($A$205:A253,Non_Tariff_Cost),0,0),0))</f>
        <v>#N/A</v>
      </c>
      <c r="B254" s="288" t="e">
        <f>INDEX(TBL_Manually_added_tariffs[ActivityType],MATCH(Additional_Inv_Proc_Tariff_List,TBL_Manually_added_tariffs[Activity],0))</f>
        <v>#N/A</v>
      </c>
      <c r="C254" s="156"/>
      <c r="D254" s="156"/>
      <c r="E254" s="35" t="e">
        <f>INDEX(TBL_Manually_added_tariffs[Cost (IF INVESTIGATION)],MATCH(Additional_Inv_Proc_Tariff_List,TBL_Manually_added_tariffs[Activity],0))</f>
        <v>#N/A</v>
      </c>
      <c r="F254" s="181"/>
    </row>
    <row r="255" spans="1:6" hidden="1" x14ac:dyDescent="0.2">
      <c r="A255" s="38" t="e">
        <f>INDEX(Non_Tariff_Cost,MATCH(0,INDEX(COUNTIF($A$205:A254,Non_Tariff_Cost),0,0),0))</f>
        <v>#N/A</v>
      </c>
      <c r="B255" s="288" t="e">
        <f>INDEX(TBL_Manually_added_tariffs[ActivityType],MATCH(Additional_Inv_Proc_Tariff_List,TBL_Manually_added_tariffs[Activity],0))</f>
        <v>#N/A</v>
      </c>
      <c r="C255" s="156"/>
      <c r="D255" s="156"/>
      <c r="E255" s="35" t="e">
        <f>INDEX(TBL_Manually_added_tariffs[Cost (IF INVESTIGATION)],MATCH(Additional_Inv_Proc_Tariff_List,TBL_Manually_added_tariffs[Activity],0))</f>
        <v>#N/A</v>
      </c>
      <c r="F255" s="181"/>
    </row>
    <row r="256" spans="1:6" hidden="1" x14ac:dyDescent="0.2">
      <c r="A256" s="38" t="e">
        <f>INDEX(Non_Tariff_Cost,MATCH(0,INDEX(COUNTIF($A$205:A255,Non_Tariff_Cost),0,0),0))</f>
        <v>#N/A</v>
      </c>
      <c r="B256" s="288" t="e">
        <f>INDEX(TBL_Manually_added_tariffs[ActivityType],MATCH(Additional_Inv_Proc_Tariff_List,TBL_Manually_added_tariffs[Activity],0))</f>
        <v>#N/A</v>
      </c>
      <c r="C256" s="156"/>
      <c r="D256" s="156"/>
      <c r="E256" s="35" t="e">
        <f>INDEX(TBL_Manually_added_tariffs[Cost (IF INVESTIGATION)],MATCH(Additional_Inv_Proc_Tariff_List,TBL_Manually_added_tariffs[Activity],0))</f>
        <v>#N/A</v>
      </c>
      <c r="F256" s="181"/>
    </row>
    <row r="257" spans="1:6" hidden="1" x14ac:dyDescent="0.2">
      <c r="A257" s="38" t="e">
        <f>INDEX(Non_Tariff_Cost,MATCH(0,INDEX(COUNTIF($A$205:A256,Non_Tariff_Cost),0,0),0))</f>
        <v>#N/A</v>
      </c>
      <c r="B257" s="288" t="e">
        <f>INDEX(TBL_Manually_added_tariffs[ActivityType],MATCH(Additional_Inv_Proc_Tariff_List,TBL_Manually_added_tariffs[Activity],0))</f>
        <v>#N/A</v>
      </c>
      <c r="C257" s="156"/>
      <c r="D257" s="156"/>
      <c r="E257" s="35" t="e">
        <f>INDEX(TBL_Manually_added_tariffs[Cost (IF INVESTIGATION)],MATCH(Additional_Inv_Proc_Tariff_List,TBL_Manually_added_tariffs[Activity],0))</f>
        <v>#N/A</v>
      </c>
      <c r="F257" s="181"/>
    </row>
    <row r="258" spans="1:6" hidden="1" x14ac:dyDescent="0.2">
      <c r="A258" s="38" t="e">
        <f>INDEX(Non_Tariff_Cost,MATCH(0,INDEX(COUNTIF($A$205:A257,Non_Tariff_Cost),0,0),0))</f>
        <v>#N/A</v>
      </c>
      <c r="B258" s="288" t="e">
        <f>INDEX(TBL_Manually_added_tariffs[ActivityType],MATCH(Additional_Inv_Proc_Tariff_List,TBL_Manually_added_tariffs[Activity],0))</f>
        <v>#N/A</v>
      </c>
      <c r="C258" s="156"/>
      <c r="D258" s="156"/>
      <c r="E258" s="35" t="e">
        <f>INDEX(TBL_Manually_added_tariffs[Cost (IF INVESTIGATION)],MATCH(Additional_Inv_Proc_Tariff_List,TBL_Manually_added_tariffs[Activity],0))</f>
        <v>#N/A</v>
      </c>
      <c r="F258" s="181"/>
    </row>
    <row r="259" spans="1:6" hidden="1" x14ac:dyDescent="0.2">
      <c r="A259" s="38" t="e">
        <f>INDEX(Non_Tariff_Cost,MATCH(0,INDEX(COUNTIF($A$205:A258,Non_Tariff_Cost),0,0),0))</f>
        <v>#N/A</v>
      </c>
      <c r="B259" s="288" t="e">
        <f>INDEX(TBL_Manually_added_tariffs[ActivityType],MATCH(Additional_Inv_Proc_Tariff_List,TBL_Manually_added_tariffs[Activity],0))</f>
        <v>#N/A</v>
      </c>
      <c r="C259" s="156"/>
      <c r="D259" s="156"/>
      <c r="E259" s="35" t="e">
        <f>INDEX(TBL_Manually_added_tariffs[Cost (IF INVESTIGATION)],MATCH(Additional_Inv_Proc_Tariff_List,TBL_Manually_added_tariffs[Activity],0))</f>
        <v>#N/A</v>
      </c>
      <c r="F259" s="181"/>
    </row>
    <row r="260" spans="1:6" hidden="1" x14ac:dyDescent="0.2">
      <c r="A260" s="38" t="e">
        <f>INDEX(Non_Tariff_Cost,MATCH(0,INDEX(COUNTIF($A$205:A259,Non_Tariff_Cost),0,0),0))</f>
        <v>#N/A</v>
      </c>
      <c r="B260" s="288" t="e">
        <f>INDEX(TBL_Manually_added_tariffs[ActivityType],MATCH(Additional_Inv_Proc_Tariff_List,TBL_Manually_added_tariffs[Activity],0))</f>
        <v>#N/A</v>
      </c>
      <c r="C260" s="156"/>
      <c r="D260" s="156"/>
      <c r="E260" s="35" t="e">
        <f>INDEX(TBL_Manually_added_tariffs[Cost (IF INVESTIGATION)],MATCH(Additional_Inv_Proc_Tariff_List,TBL_Manually_added_tariffs[Activity],0))</f>
        <v>#N/A</v>
      </c>
      <c r="F260" s="181"/>
    </row>
    <row r="261" spans="1:6" hidden="1" x14ac:dyDescent="0.2">
      <c r="A261" s="38" t="e">
        <f>INDEX(Non_Tariff_Cost,MATCH(0,INDEX(COUNTIF($A$205:A260,Non_Tariff_Cost),0,0),0))</f>
        <v>#N/A</v>
      </c>
      <c r="B261" s="288" t="e">
        <f>INDEX(TBL_Manually_added_tariffs[ActivityType],MATCH(Additional_Inv_Proc_Tariff_List,TBL_Manually_added_tariffs[Activity],0))</f>
        <v>#N/A</v>
      </c>
      <c r="C261" s="156"/>
      <c r="D261" s="156"/>
      <c r="E261" s="35" t="e">
        <f>INDEX(TBL_Manually_added_tariffs[Cost (IF INVESTIGATION)],MATCH(Additional_Inv_Proc_Tariff_List,TBL_Manually_added_tariffs[Activity],0))</f>
        <v>#N/A</v>
      </c>
      <c r="F261" s="181"/>
    </row>
    <row r="262" spans="1:6" hidden="1" x14ac:dyDescent="0.2">
      <c r="A262" s="38" t="e">
        <f>INDEX(Non_Tariff_Cost,MATCH(0,INDEX(COUNTIF($A$205:A261,Non_Tariff_Cost),0,0),0))</f>
        <v>#N/A</v>
      </c>
      <c r="B262" s="288" t="e">
        <f>INDEX(TBL_Manually_added_tariffs[ActivityType],MATCH(Additional_Inv_Proc_Tariff_List,TBL_Manually_added_tariffs[Activity],0))</f>
        <v>#N/A</v>
      </c>
      <c r="C262" s="156"/>
      <c r="D262" s="156"/>
      <c r="E262" s="35" t="e">
        <f>INDEX(TBL_Manually_added_tariffs[Cost (IF INVESTIGATION)],MATCH(Additional_Inv_Proc_Tariff_List,TBL_Manually_added_tariffs[Activity],0))</f>
        <v>#N/A</v>
      </c>
      <c r="F262" s="181"/>
    </row>
    <row r="263" spans="1:6" hidden="1" x14ac:dyDescent="0.2">
      <c r="A263" s="38" t="e">
        <f>INDEX(Non_Tariff_Cost,MATCH(0,INDEX(COUNTIF($A$205:A262,Non_Tariff_Cost),0,0),0))</f>
        <v>#N/A</v>
      </c>
      <c r="B263" s="288" t="e">
        <f>INDEX(TBL_Manually_added_tariffs[ActivityType],MATCH(Additional_Inv_Proc_Tariff_List,TBL_Manually_added_tariffs[Activity],0))</f>
        <v>#N/A</v>
      </c>
      <c r="C263" s="156"/>
      <c r="D263" s="156"/>
      <c r="E263" s="35" t="e">
        <f>INDEX(TBL_Manually_added_tariffs[Cost (IF INVESTIGATION)],MATCH(Additional_Inv_Proc_Tariff_List,TBL_Manually_added_tariffs[Activity],0))</f>
        <v>#N/A</v>
      </c>
      <c r="F263" s="181"/>
    </row>
    <row r="264" spans="1:6" hidden="1" x14ac:dyDescent="0.2">
      <c r="A264" s="38" t="e">
        <f>INDEX(Non_Tariff_Cost,MATCH(0,INDEX(COUNTIF($A$205:A263,Non_Tariff_Cost),0,0),0))</f>
        <v>#N/A</v>
      </c>
      <c r="B264" s="288" t="e">
        <f>INDEX(TBL_Manually_added_tariffs[ActivityType],MATCH(Additional_Inv_Proc_Tariff_List,TBL_Manually_added_tariffs[Activity],0))</f>
        <v>#N/A</v>
      </c>
      <c r="C264" s="156"/>
      <c r="D264" s="156"/>
      <c r="E264" s="35" t="e">
        <f>INDEX(TBL_Manually_added_tariffs[Cost (IF INVESTIGATION)],MATCH(Additional_Inv_Proc_Tariff_List,TBL_Manually_added_tariffs[Activity],0))</f>
        <v>#N/A</v>
      </c>
      <c r="F264" s="181"/>
    </row>
    <row r="265" spans="1:6" hidden="1" x14ac:dyDescent="0.2">
      <c r="A265" s="38" t="e">
        <f>INDEX(Non_Tariff_Cost,MATCH(0,INDEX(COUNTIF($A$205:A264,Non_Tariff_Cost),0,0),0))</f>
        <v>#N/A</v>
      </c>
      <c r="B265" s="288" t="e">
        <f>INDEX(TBL_Manually_added_tariffs[ActivityType],MATCH(Additional_Inv_Proc_Tariff_List,TBL_Manually_added_tariffs[Activity],0))</f>
        <v>#N/A</v>
      </c>
      <c r="C265" s="156"/>
      <c r="D265" s="156"/>
      <c r="E265" s="35" t="e">
        <f>INDEX(TBL_Manually_added_tariffs[Cost (IF INVESTIGATION)],MATCH(Additional_Inv_Proc_Tariff_List,TBL_Manually_added_tariffs[Activity],0))</f>
        <v>#N/A</v>
      </c>
      <c r="F265" s="181"/>
    </row>
    <row r="266" spans="1:6" hidden="1" x14ac:dyDescent="0.2">
      <c r="A266" s="38" t="e">
        <f>INDEX(Non_Tariff_Cost,MATCH(0,INDEX(COUNTIF($A$205:A265,Non_Tariff_Cost),0,0),0))</f>
        <v>#N/A</v>
      </c>
      <c r="B266" s="288" t="e">
        <f>INDEX(TBL_Manually_added_tariffs[ActivityType],MATCH(Additional_Inv_Proc_Tariff_List,TBL_Manually_added_tariffs[Activity],0))</f>
        <v>#N/A</v>
      </c>
      <c r="C266" s="156"/>
      <c r="D266" s="156"/>
      <c r="E266" s="35" t="e">
        <f>INDEX(TBL_Manually_added_tariffs[Cost (IF INVESTIGATION)],MATCH(Additional_Inv_Proc_Tariff_List,TBL_Manually_added_tariffs[Activity],0))</f>
        <v>#N/A</v>
      </c>
      <c r="F266" s="181"/>
    </row>
    <row r="267" spans="1:6" hidden="1" x14ac:dyDescent="0.2">
      <c r="A267" s="38" t="e">
        <f>INDEX(Non_Tariff_Cost,MATCH(0,INDEX(COUNTIF($A$205:A266,Non_Tariff_Cost),0,0),0))</f>
        <v>#N/A</v>
      </c>
      <c r="B267" s="288" t="e">
        <f>INDEX(TBL_Manually_added_tariffs[ActivityType],MATCH(Additional_Inv_Proc_Tariff_List,TBL_Manually_added_tariffs[Activity],0))</f>
        <v>#N/A</v>
      </c>
      <c r="C267" s="156"/>
      <c r="D267" s="156"/>
      <c r="E267" s="35" t="e">
        <f>INDEX(TBL_Manually_added_tariffs[Cost (IF INVESTIGATION)],MATCH(Additional_Inv_Proc_Tariff_List,TBL_Manually_added_tariffs[Activity],0))</f>
        <v>#N/A</v>
      </c>
      <c r="F267" s="181"/>
    </row>
    <row r="268" spans="1:6" hidden="1" x14ac:dyDescent="0.2">
      <c r="A268" s="38" t="e">
        <f>INDEX(Non_Tariff_Cost,MATCH(0,INDEX(COUNTIF($A$205:A267,Non_Tariff_Cost),0,0),0))</f>
        <v>#N/A</v>
      </c>
      <c r="B268" s="288" t="e">
        <f>INDEX(TBL_Manually_added_tariffs[ActivityType],MATCH(Additional_Inv_Proc_Tariff_List,TBL_Manually_added_tariffs[Activity],0))</f>
        <v>#N/A</v>
      </c>
      <c r="C268" s="156"/>
      <c r="D268" s="156"/>
      <c r="E268" s="35" t="e">
        <f>INDEX(TBL_Manually_added_tariffs[Cost (IF INVESTIGATION)],MATCH(Additional_Inv_Proc_Tariff_List,TBL_Manually_added_tariffs[Activity],0))</f>
        <v>#N/A</v>
      </c>
      <c r="F268" s="181"/>
    </row>
    <row r="269" spans="1:6" hidden="1" x14ac:dyDescent="0.2">
      <c r="A269" s="38" t="e">
        <f>INDEX(Non_Tariff_Cost,MATCH(0,INDEX(COUNTIF($A$205:A268,Non_Tariff_Cost),0,0),0))</f>
        <v>#N/A</v>
      </c>
      <c r="B269" s="288" t="e">
        <f>INDEX(TBL_Manually_added_tariffs[ActivityType],MATCH(Additional_Inv_Proc_Tariff_List,TBL_Manually_added_tariffs[Activity],0))</f>
        <v>#N/A</v>
      </c>
      <c r="C269" s="156"/>
      <c r="D269" s="156"/>
      <c r="E269" s="35" t="e">
        <f>INDEX(TBL_Manually_added_tariffs[Cost (IF INVESTIGATION)],MATCH(Additional_Inv_Proc_Tariff_List,TBL_Manually_added_tariffs[Activity],0))</f>
        <v>#N/A</v>
      </c>
      <c r="F269" s="181"/>
    </row>
    <row r="270" spans="1:6" hidden="1" x14ac:dyDescent="0.2">
      <c r="A270" s="38" t="e">
        <f>INDEX(Non_Tariff_Cost,MATCH(0,INDEX(COUNTIF($A$205:A269,Non_Tariff_Cost),0,0),0))</f>
        <v>#N/A</v>
      </c>
      <c r="B270" s="288" t="e">
        <f>INDEX(TBL_Manually_added_tariffs[ActivityType],MATCH(Additional_Inv_Proc_Tariff_List,TBL_Manually_added_tariffs[Activity],0))</f>
        <v>#N/A</v>
      </c>
      <c r="C270" s="156"/>
      <c r="D270" s="156"/>
      <c r="E270" s="35" t="e">
        <f>INDEX(TBL_Manually_added_tariffs[Cost (IF INVESTIGATION)],MATCH(Additional_Inv_Proc_Tariff_List,TBL_Manually_added_tariffs[Activity],0))</f>
        <v>#N/A</v>
      </c>
      <c r="F270" s="181"/>
    </row>
    <row r="271" spans="1:6" hidden="1" x14ac:dyDescent="0.2">
      <c r="A271" s="38" t="e">
        <f>INDEX(Non_Tariff_Cost,MATCH(0,INDEX(COUNTIF($A$205:A270,Non_Tariff_Cost),0,0),0))</f>
        <v>#N/A</v>
      </c>
      <c r="B271" s="288" t="e">
        <f>INDEX(TBL_Manually_added_tariffs[ActivityType],MATCH(Additional_Inv_Proc_Tariff_List,TBL_Manually_added_tariffs[Activity],0))</f>
        <v>#N/A</v>
      </c>
      <c r="C271" s="156"/>
      <c r="D271" s="156"/>
      <c r="E271" s="35" t="e">
        <f>INDEX(TBL_Manually_added_tariffs[Cost (IF INVESTIGATION)],MATCH(Additional_Inv_Proc_Tariff_List,TBL_Manually_added_tariffs[Activity],0))</f>
        <v>#N/A</v>
      </c>
      <c r="F271" s="181"/>
    </row>
    <row r="272" spans="1:6" hidden="1" x14ac:dyDescent="0.2">
      <c r="A272" s="38" t="e">
        <f>INDEX(Non_Tariff_Cost,MATCH(0,INDEX(COUNTIF($A$205:A271,Non_Tariff_Cost),0,0),0))</f>
        <v>#N/A</v>
      </c>
      <c r="B272" s="288" t="e">
        <f>INDEX(TBL_Manually_added_tariffs[ActivityType],MATCH(Additional_Inv_Proc_Tariff_List,TBL_Manually_added_tariffs[Activity],0))</f>
        <v>#N/A</v>
      </c>
      <c r="C272" s="156"/>
      <c r="D272" s="156"/>
      <c r="E272" s="35" t="e">
        <f>INDEX(TBL_Manually_added_tariffs[Cost (IF INVESTIGATION)],MATCH(Additional_Inv_Proc_Tariff_List,TBL_Manually_added_tariffs[Activity],0))</f>
        <v>#N/A</v>
      </c>
      <c r="F272" s="181"/>
    </row>
    <row r="273" spans="1:6" hidden="1" x14ac:dyDescent="0.2">
      <c r="A273" s="38" t="e">
        <f>INDEX(Non_Tariff_Cost,MATCH(0,INDEX(COUNTIF($A$205:A272,Non_Tariff_Cost),0,0),0))</f>
        <v>#N/A</v>
      </c>
      <c r="B273" s="288" t="e">
        <f>INDEX(TBL_Manually_added_tariffs[ActivityType],MATCH(Additional_Inv_Proc_Tariff_List,TBL_Manually_added_tariffs[Activity],0))</f>
        <v>#N/A</v>
      </c>
      <c r="C273" s="156"/>
      <c r="D273" s="156"/>
      <c r="E273" s="35" t="e">
        <f>INDEX(TBL_Manually_added_tariffs[Cost (IF INVESTIGATION)],MATCH(Additional_Inv_Proc_Tariff_List,TBL_Manually_added_tariffs[Activity],0))</f>
        <v>#N/A</v>
      </c>
      <c r="F273" s="181"/>
    </row>
    <row r="274" spans="1:6" hidden="1" x14ac:dyDescent="0.2">
      <c r="A274" s="38" t="e">
        <f>INDEX(Non_Tariff_Cost,MATCH(0,INDEX(COUNTIF($A$205:A273,Non_Tariff_Cost),0,0),0))</f>
        <v>#N/A</v>
      </c>
      <c r="B274" s="288" t="e">
        <f>INDEX(TBL_Manually_added_tariffs[ActivityType],MATCH(Additional_Inv_Proc_Tariff_List,TBL_Manually_added_tariffs[Activity],0))</f>
        <v>#N/A</v>
      </c>
      <c r="C274" s="156"/>
      <c r="D274" s="156"/>
      <c r="E274" s="35" t="e">
        <f>INDEX(TBL_Manually_added_tariffs[Cost (IF INVESTIGATION)],MATCH(Additional_Inv_Proc_Tariff_List,TBL_Manually_added_tariffs[Activity],0))</f>
        <v>#N/A</v>
      </c>
      <c r="F274" s="181"/>
    </row>
    <row r="275" spans="1:6" hidden="1" x14ac:dyDescent="0.2">
      <c r="A275" s="38" t="e">
        <f>INDEX(Non_Tariff_Cost,MATCH(0,INDEX(COUNTIF($A$205:A274,Non_Tariff_Cost),0,0),0))</f>
        <v>#N/A</v>
      </c>
      <c r="B275" s="288" t="e">
        <f>INDEX(TBL_Manually_added_tariffs[ActivityType],MATCH(Additional_Inv_Proc_Tariff_List,TBL_Manually_added_tariffs[Activity],0))</f>
        <v>#N/A</v>
      </c>
      <c r="C275" s="156"/>
      <c r="D275" s="156"/>
      <c r="E275" s="35" t="e">
        <f>INDEX(TBL_Manually_added_tariffs[Cost (IF INVESTIGATION)],MATCH(Additional_Inv_Proc_Tariff_List,TBL_Manually_added_tariffs[Activity],0))</f>
        <v>#N/A</v>
      </c>
      <c r="F275" s="181"/>
    </row>
    <row r="276" spans="1:6" hidden="1" x14ac:dyDescent="0.2">
      <c r="A276" s="38" t="e">
        <f>INDEX(Non_Tariff_Cost,MATCH(0,INDEX(COUNTIF($A$205:A275,Non_Tariff_Cost),0,0),0))</f>
        <v>#N/A</v>
      </c>
      <c r="B276" s="288" t="e">
        <f>INDEX(TBL_Manually_added_tariffs[ActivityType],MATCH(Additional_Inv_Proc_Tariff_List,TBL_Manually_added_tariffs[Activity],0))</f>
        <v>#N/A</v>
      </c>
      <c r="C276" s="156"/>
      <c r="D276" s="156"/>
      <c r="E276" s="35" t="e">
        <f>INDEX(TBL_Manually_added_tariffs[Cost (IF INVESTIGATION)],MATCH(Additional_Inv_Proc_Tariff_List,TBL_Manually_added_tariffs[Activity],0))</f>
        <v>#N/A</v>
      </c>
      <c r="F276" s="181"/>
    </row>
    <row r="277" spans="1:6" hidden="1" x14ac:dyDescent="0.2">
      <c r="A277" s="38" t="e">
        <f>INDEX(Non_Tariff_Cost,MATCH(0,INDEX(COUNTIF($A$205:A276,Non_Tariff_Cost),0,0),0))</f>
        <v>#N/A</v>
      </c>
      <c r="B277" s="288" t="e">
        <f>INDEX(TBL_Manually_added_tariffs[ActivityType],MATCH(Additional_Inv_Proc_Tariff_List,TBL_Manually_added_tariffs[Activity],0))</f>
        <v>#N/A</v>
      </c>
      <c r="C277" s="156"/>
      <c r="D277" s="156"/>
      <c r="E277" s="35" t="e">
        <f>INDEX(TBL_Manually_added_tariffs[Cost (IF INVESTIGATION)],MATCH(Additional_Inv_Proc_Tariff_List,TBL_Manually_added_tariffs[Activity],0))</f>
        <v>#N/A</v>
      </c>
      <c r="F277" s="181"/>
    </row>
    <row r="278" spans="1:6" hidden="1" x14ac:dyDescent="0.2">
      <c r="A278" s="38" t="e">
        <f>INDEX(Non_Tariff_Cost,MATCH(0,INDEX(COUNTIF($A$205:A277,Non_Tariff_Cost),0,0),0))</f>
        <v>#N/A</v>
      </c>
      <c r="B278" s="288" t="e">
        <f>INDEX(TBL_Manually_added_tariffs[ActivityType],MATCH(Additional_Inv_Proc_Tariff_List,TBL_Manually_added_tariffs[Activity],0))</f>
        <v>#N/A</v>
      </c>
      <c r="C278" s="156"/>
      <c r="D278" s="156"/>
      <c r="E278" s="35" t="e">
        <f>INDEX(TBL_Manually_added_tariffs[Cost (IF INVESTIGATION)],MATCH(Additional_Inv_Proc_Tariff_List,TBL_Manually_added_tariffs[Activity],0))</f>
        <v>#N/A</v>
      </c>
      <c r="F278" s="181"/>
    </row>
    <row r="279" spans="1:6" hidden="1" x14ac:dyDescent="0.2">
      <c r="A279" s="38" t="e">
        <f>INDEX(Non_Tariff_Cost,MATCH(0,INDEX(COUNTIF($A$205:A278,Non_Tariff_Cost),0,0),0))</f>
        <v>#N/A</v>
      </c>
      <c r="B279" s="288" t="e">
        <f>INDEX(TBL_Manually_added_tariffs[ActivityType],MATCH(Additional_Inv_Proc_Tariff_List,TBL_Manually_added_tariffs[Activity],0))</f>
        <v>#N/A</v>
      </c>
      <c r="C279" s="156"/>
      <c r="D279" s="156"/>
      <c r="E279" s="35" t="e">
        <f>INDEX(TBL_Manually_added_tariffs[Cost (IF INVESTIGATION)],MATCH(Additional_Inv_Proc_Tariff_List,TBL_Manually_added_tariffs[Activity],0))</f>
        <v>#N/A</v>
      </c>
      <c r="F279" s="181"/>
    </row>
    <row r="280" spans="1:6" hidden="1" x14ac:dyDescent="0.2">
      <c r="A280" s="38" t="e">
        <f>INDEX(Non_Tariff_Cost,MATCH(0,INDEX(COUNTIF($A$205:A279,Non_Tariff_Cost),0,0),0))</f>
        <v>#N/A</v>
      </c>
      <c r="B280" s="288" t="e">
        <f>INDEX(TBL_Manually_added_tariffs[ActivityType],MATCH(Additional_Inv_Proc_Tariff_List,TBL_Manually_added_tariffs[Activity],0))</f>
        <v>#N/A</v>
      </c>
      <c r="C280" s="156"/>
      <c r="D280" s="156"/>
      <c r="E280" s="35" t="e">
        <f>INDEX(TBL_Manually_added_tariffs[Cost (IF INVESTIGATION)],MATCH(Additional_Inv_Proc_Tariff_List,TBL_Manually_added_tariffs[Activity],0))</f>
        <v>#N/A</v>
      </c>
      <c r="F280" s="181"/>
    </row>
    <row r="281" spans="1:6" hidden="1" x14ac:dyDescent="0.2">
      <c r="A281" s="38" t="e">
        <f>INDEX(Non_Tariff_Cost,MATCH(0,INDEX(COUNTIF($A$205:A280,Non_Tariff_Cost),0,0),0))</f>
        <v>#N/A</v>
      </c>
      <c r="B281" s="288" t="e">
        <f>INDEX(TBL_Manually_added_tariffs[ActivityType],MATCH(Additional_Inv_Proc_Tariff_List,TBL_Manually_added_tariffs[Activity],0))</f>
        <v>#N/A</v>
      </c>
      <c r="C281" s="156"/>
      <c r="D281" s="156"/>
      <c r="E281" s="35" t="e">
        <f>INDEX(TBL_Manually_added_tariffs[Cost (IF INVESTIGATION)],MATCH(Additional_Inv_Proc_Tariff_List,TBL_Manually_added_tariffs[Activity],0))</f>
        <v>#N/A</v>
      </c>
      <c r="F281" s="181"/>
    </row>
    <row r="282" spans="1:6" hidden="1" x14ac:dyDescent="0.2">
      <c r="A282" s="38" t="e">
        <f>INDEX(Non_Tariff_Cost,MATCH(0,INDEX(COUNTIF($A$205:A281,Non_Tariff_Cost),0,0),0))</f>
        <v>#N/A</v>
      </c>
      <c r="B282" s="288" t="e">
        <f>INDEX(TBL_Manually_added_tariffs[ActivityType],MATCH(Additional_Inv_Proc_Tariff_List,TBL_Manually_added_tariffs[Activity],0))</f>
        <v>#N/A</v>
      </c>
      <c r="C282" s="156"/>
      <c r="D282" s="156"/>
      <c r="E282" s="35" t="e">
        <f>INDEX(TBL_Manually_added_tariffs[Cost (IF INVESTIGATION)],MATCH(Additional_Inv_Proc_Tariff_List,TBL_Manually_added_tariffs[Activity],0))</f>
        <v>#N/A</v>
      </c>
      <c r="F282" s="181"/>
    </row>
    <row r="283" spans="1:6" hidden="1" x14ac:dyDescent="0.2">
      <c r="A283" s="38" t="e">
        <f>INDEX(Non_Tariff_Cost,MATCH(0,INDEX(COUNTIF($A$205:A282,Non_Tariff_Cost),0,0),0))</f>
        <v>#N/A</v>
      </c>
      <c r="B283" s="288" t="e">
        <f>INDEX(TBL_Manually_added_tariffs[ActivityType],MATCH(Additional_Inv_Proc_Tariff_List,TBL_Manually_added_tariffs[Activity],0))</f>
        <v>#N/A</v>
      </c>
      <c r="C283" s="156"/>
      <c r="D283" s="156"/>
      <c r="E283" s="35" t="e">
        <f>INDEX(TBL_Manually_added_tariffs[Cost (IF INVESTIGATION)],MATCH(Additional_Inv_Proc_Tariff_List,TBL_Manually_added_tariffs[Activity],0))</f>
        <v>#N/A</v>
      </c>
      <c r="F283" s="181"/>
    </row>
    <row r="284" spans="1:6" hidden="1" x14ac:dyDescent="0.2">
      <c r="A284" s="38" t="e">
        <f>INDEX(Non_Tariff_Cost,MATCH(0,INDEX(COUNTIF($A$205:A283,Non_Tariff_Cost),0,0),0))</f>
        <v>#N/A</v>
      </c>
      <c r="B284" s="288" t="e">
        <f>INDEX(TBL_Manually_added_tariffs[ActivityType],MATCH(Additional_Inv_Proc_Tariff_List,TBL_Manually_added_tariffs[Activity],0))</f>
        <v>#N/A</v>
      </c>
      <c r="C284" s="156"/>
      <c r="D284" s="156"/>
      <c r="E284" s="35" t="e">
        <f>INDEX(TBL_Manually_added_tariffs[Cost (IF INVESTIGATION)],MATCH(Additional_Inv_Proc_Tariff_List,TBL_Manually_added_tariffs[Activity],0))</f>
        <v>#N/A</v>
      </c>
      <c r="F284" s="181"/>
    </row>
    <row r="285" spans="1:6" hidden="1" x14ac:dyDescent="0.2">
      <c r="A285" s="38" t="e">
        <f>INDEX(Non_Tariff_Cost,MATCH(0,INDEX(COUNTIF($A$205:A284,Non_Tariff_Cost),0,0),0))</f>
        <v>#N/A</v>
      </c>
      <c r="B285" s="288" t="e">
        <f>INDEX(TBL_Manually_added_tariffs[ActivityType],MATCH(Additional_Inv_Proc_Tariff_List,TBL_Manually_added_tariffs[Activity],0))</f>
        <v>#N/A</v>
      </c>
      <c r="C285" s="156"/>
      <c r="D285" s="156"/>
      <c r="E285" s="35" t="e">
        <f>INDEX(TBL_Manually_added_tariffs[Cost (IF INVESTIGATION)],MATCH(Additional_Inv_Proc_Tariff_List,TBL_Manually_added_tariffs[Activity],0))</f>
        <v>#N/A</v>
      </c>
      <c r="F285" s="181"/>
    </row>
    <row r="286" spans="1:6" hidden="1" x14ac:dyDescent="0.2">
      <c r="A286" s="38" t="e">
        <f>INDEX(Non_Tariff_Cost,MATCH(0,INDEX(COUNTIF($A$205:A285,Non_Tariff_Cost),0,0),0))</f>
        <v>#N/A</v>
      </c>
      <c r="B286" s="288" t="e">
        <f>INDEX(TBL_Manually_added_tariffs[ActivityType],MATCH(Additional_Inv_Proc_Tariff_List,TBL_Manually_added_tariffs[Activity],0))</f>
        <v>#N/A</v>
      </c>
      <c r="C286" s="156"/>
      <c r="D286" s="156"/>
      <c r="E286" s="35" t="e">
        <f>INDEX(TBL_Manually_added_tariffs[Cost (IF INVESTIGATION)],MATCH(Additional_Inv_Proc_Tariff_List,TBL_Manually_added_tariffs[Activity],0))</f>
        <v>#N/A</v>
      </c>
      <c r="F286" s="181"/>
    </row>
    <row r="287" spans="1:6" hidden="1" x14ac:dyDescent="0.2">
      <c r="A287" s="38" t="e">
        <f>INDEX(Non_Tariff_Cost,MATCH(0,INDEX(COUNTIF($A$205:A286,Non_Tariff_Cost),0,0),0))</f>
        <v>#N/A</v>
      </c>
      <c r="B287" s="288" t="e">
        <f>INDEX(TBL_Manually_added_tariffs[ActivityType],MATCH(Additional_Inv_Proc_Tariff_List,TBL_Manually_added_tariffs[Activity],0))</f>
        <v>#N/A</v>
      </c>
      <c r="C287" s="156"/>
      <c r="D287" s="156"/>
      <c r="E287" s="35" t="e">
        <f>INDEX(TBL_Manually_added_tariffs[Cost (IF INVESTIGATION)],MATCH(Additional_Inv_Proc_Tariff_List,TBL_Manually_added_tariffs[Activity],0))</f>
        <v>#N/A</v>
      </c>
      <c r="F287" s="181"/>
    </row>
    <row r="288" spans="1:6" hidden="1" x14ac:dyDescent="0.2">
      <c r="A288" s="38" t="e">
        <f>INDEX(Non_Tariff_Cost,MATCH(0,INDEX(COUNTIF($A$205:A287,Non_Tariff_Cost),0,0),0))</f>
        <v>#N/A</v>
      </c>
      <c r="B288" s="288" t="e">
        <f>INDEX(TBL_Manually_added_tariffs[ActivityType],MATCH(Additional_Inv_Proc_Tariff_List,TBL_Manually_added_tariffs[Activity],0))</f>
        <v>#N/A</v>
      </c>
      <c r="C288" s="156"/>
      <c r="D288" s="156"/>
      <c r="E288" s="35" t="e">
        <f>INDEX(TBL_Manually_added_tariffs[Cost (IF INVESTIGATION)],MATCH(Additional_Inv_Proc_Tariff_List,TBL_Manually_added_tariffs[Activity],0))</f>
        <v>#N/A</v>
      </c>
      <c r="F288" s="181"/>
    </row>
    <row r="289" spans="1:6" hidden="1" x14ac:dyDescent="0.2">
      <c r="A289" s="38" t="e">
        <f>INDEX(Non_Tariff_Cost,MATCH(0,INDEX(COUNTIF($A$205:A288,Non_Tariff_Cost),0,0),0))</f>
        <v>#N/A</v>
      </c>
      <c r="B289" s="288" t="e">
        <f>INDEX(TBL_Manually_added_tariffs[ActivityType],MATCH(Additional_Inv_Proc_Tariff_List,TBL_Manually_added_tariffs[Activity],0))</f>
        <v>#N/A</v>
      </c>
      <c r="C289" s="156"/>
      <c r="D289" s="156"/>
      <c r="E289" s="35" t="e">
        <f>INDEX(TBL_Manually_added_tariffs[Cost (IF INVESTIGATION)],MATCH(Additional_Inv_Proc_Tariff_List,TBL_Manually_added_tariffs[Activity],0))</f>
        <v>#N/A</v>
      </c>
      <c r="F289" s="181"/>
    </row>
    <row r="290" spans="1:6" hidden="1" x14ac:dyDescent="0.2">
      <c r="A290" s="38" t="e">
        <f>INDEX(Non_Tariff_Cost,MATCH(0,INDEX(COUNTIF($A$205:A289,Non_Tariff_Cost),0,0),0))</f>
        <v>#N/A</v>
      </c>
      <c r="B290" s="288" t="e">
        <f>INDEX(TBL_Manually_added_tariffs[ActivityType],MATCH(Additional_Inv_Proc_Tariff_List,TBL_Manually_added_tariffs[Activity],0))</f>
        <v>#N/A</v>
      </c>
      <c r="C290" s="156"/>
      <c r="D290" s="156"/>
      <c r="E290" s="35" t="e">
        <f>INDEX(TBL_Manually_added_tariffs[Cost (IF INVESTIGATION)],MATCH(Additional_Inv_Proc_Tariff_List,TBL_Manually_added_tariffs[Activity],0))</f>
        <v>#N/A</v>
      </c>
      <c r="F290" s="181"/>
    </row>
    <row r="291" spans="1:6" hidden="1" x14ac:dyDescent="0.2">
      <c r="A291" s="38" t="e">
        <f>INDEX(Non_Tariff_Cost,MATCH(0,INDEX(COUNTIF($A$205:A290,Non_Tariff_Cost),0,0),0))</f>
        <v>#N/A</v>
      </c>
      <c r="B291" s="288" t="e">
        <f>INDEX(TBL_Manually_added_tariffs[ActivityType],MATCH(Additional_Inv_Proc_Tariff_List,TBL_Manually_added_tariffs[Activity],0))</f>
        <v>#N/A</v>
      </c>
      <c r="C291" s="156"/>
      <c r="D291" s="156"/>
      <c r="E291" s="35" t="e">
        <f>INDEX(TBL_Manually_added_tariffs[Cost (IF INVESTIGATION)],MATCH(Additional_Inv_Proc_Tariff_List,TBL_Manually_added_tariffs[Activity],0))</f>
        <v>#N/A</v>
      </c>
      <c r="F291" s="181"/>
    </row>
    <row r="292" spans="1:6" hidden="1" x14ac:dyDescent="0.2">
      <c r="A292" s="38" t="e">
        <f>INDEX(Non_Tariff_Cost,MATCH(0,INDEX(COUNTIF($A$205:A291,Non_Tariff_Cost),0,0),0))</f>
        <v>#N/A</v>
      </c>
      <c r="B292" s="288" t="e">
        <f>INDEX(TBL_Manually_added_tariffs[ActivityType],MATCH(Additional_Inv_Proc_Tariff_List,TBL_Manually_added_tariffs[Activity],0))</f>
        <v>#N/A</v>
      </c>
      <c r="C292" s="156"/>
      <c r="D292" s="156"/>
      <c r="E292" s="35" t="e">
        <f>INDEX(TBL_Manually_added_tariffs[Cost (IF INVESTIGATION)],MATCH(Additional_Inv_Proc_Tariff_List,TBL_Manually_added_tariffs[Activity],0))</f>
        <v>#N/A</v>
      </c>
      <c r="F292" s="181"/>
    </row>
    <row r="293" spans="1:6" hidden="1" x14ac:dyDescent="0.2">
      <c r="A293" s="38" t="e">
        <f>INDEX(Non_Tariff_Cost,MATCH(0,INDEX(COUNTIF($A$205:A292,Non_Tariff_Cost),0,0),0))</f>
        <v>#N/A</v>
      </c>
      <c r="B293" s="288" t="e">
        <f>INDEX(TBL_Manually_added_tariffs[ActivityType],MATCH(Additional_Inv_Proc_Tariff_List,TBL_Manually_added_tariffs[Activity],0))</f>
        <v>#N/A</v>
      </c>
      <c r="C293" s="156"/>
      <c r="D293" s="156"/>
      <c r="E293" s="35" t="e">
        <f>INDEX(TBL_Manually_added_tariffs[Cost (IF INVESTIGATION)],MATCH(Additional_Inv_Proc_Tariff_List,TBL_Manually_added_tariffs[Activity],0))</f>
        <v>#N/A</v>
      </c>
      <c r="F293" s="181"/>
    </row>
    <row r="294" spans="1:6" hidden="1" x14ac:dyDescent="0.2">
      <c r="A294" s="38" t="e">
        <f>INDEX(Non_Tariff_Cost,MATCH(0,INDEX(COUNTIF($A$205:A293,Non_Tariff_Cost),0,0),0))</f>
        <v>#N/A</v>
      </c>
      <c r="B294" s="288" t="e">
        <f>INDEX(TBL_Manually_added_tariffs[ActivityType],MATCH(Additional_Inv_Proc_Tariff_List,TBL_Manually_added_tariffs[Activity],0))</f>
        <v>#N/A</v>
      </c>
      <c r="C294" s="156"/>
      <c r="D294" s="156"/>
      <c r="E294" s="35" t="e">
        <f>INDEX(TBL_Manually_added_tariffs[Cost (IF INVESTIGATION)],MATCH(Additional_Inv_Proc_Tariff_List,TBL_Manually_added_tariffs[Activity],0))</f>
        <v>#N/A</v>
      </c>
      <c r="F294" s="181"/>
    </row>
    <row r="295" spans="1:6" hidden="1" x14ac:dyDescent="0.2">
      <c r="A295" s="38" t="e">
        <f>INDEX(Non_Tariff_Cost,MATCH(0,INDEX(COUNTIF($A$205:A294,Non_Tariff_Cost),0,0),0))</f>
        <v>#N/A</v>
      </c>
      <c r="B295" s="288" t="e">
        <f>INDEX(TBL_Manually_added_tariffs[ActivityType],MATCH(Additional_Inv_Proc_Tariff_List,TBL_Manually_added_tariffs[Activity],0))</f>
        <v>#N/A</v>
      </c>
      <c r="C295" s="156"/>
      <c r="D295" s="156"/>
      <c r="E295" s="35" t="e">
        <f>INDEX(TBL_Manually_added_tariffs[Cost (IF INVESTIGATION)],MATCH(Additional_Inv_Proc_Tariff_List,TBL_Manually_added_tariffs[Activity],0))</f>
        <v>#N/A</v>
      </c>
      <c r="F295" s="181"/>
    </row>
    <row r="296" spans="1:6" hidden="1" x14ac:dyDescent="0.2">
      <c r="A296" s="38" t="e">
        <f>INDEX(Non_Tariff_Cost,MATCH(0,INDEX(COUNTIF($A$205:A295,Non_Tariff_Cost),0,0),0))</f>
        <v>#N/A</v>
      </c>
      <c r="B296" s="288" t="e">
        <f>INDEX(TBL_Manually_added_tariffs[ActivityType],MATCH(Additional_Inv_Proc_Tariff_List,TBL_Manually_added_tariffs[Activity],0))</f>
        <v>#N/A</v>
      </c>
      <c r="C296" s="156"/>
      <c r="D296" s="156"/>
      <c r="E296" s="35" t="e">
        <f>INDEX(TBL_Manually_added_tariffs[Cost (IF INVESTIGATION)],MATCH(Additional_Inv_Proc_Tariff_List,TBL_Manually_added_tariffs[Activity],0))</f>
        <v>#N/A</v>
      </c>
      <c r="F296" s="181"/>
    </row>
    <row r="297" spans="1:6" hidden="1" x14ac:dyDescent="0.2">
      <c r="A297" s="38" t="e">
        <f>INDEX(Non_Tariff_Cost,MATCH(0,INDEX(COUNTIF($A$205:A296,Non_Tariff_Cost),0,0),0))</f>
        <v>#N/A</v>
      </c>
      <c r="B297" s="288" t="e">
        <f>INDEX(TBL_Manually_added_tariffs[ActivityType],MATCH(Additional_Inv_Proc_Tariff_List,TBL_Manually_added_tariffs[Activity],0))</f>
        <v>#N/A</v>
      </c>
      <c r="C297" s="156"/>
      <c r="D297" s="156"/>
      <c r="E297" s="35" t="e">
        <f>INDEX(TBL_Manually_added_tariffs[Cost (IF INVESTIGATION)],MATCH(Additional_Inv_Proc_Tariff_List,TBL_Manually_added_tariffs[Activity],0))</f>
        <v>#N/A</v>
      </c>
      <c r="F297" s="181"/>
    </row>
    <row r="298" spans="1:6" hidden="1" x14ac:dyDescent="0.2">
      <c r="A298" s="38" t="e">
        <f>INDEX(Non_Tariff_Cost,MATCH(0,INDEX(COUNTIF($A$205:A297,Non_Tariff_Cost),0,0),0))</f>
        <v>#N/A</v>
      </c>
      <c r="B298" s="288" t="e">
        <f>INDEX(TBL_Manually_added_tariffs[ActivityType],MATCH(Additional_Inv_Proc_Tariff_List,TBL_Manually_added_tariffs[Activity],0))</f>
        <v>#N/A</v>
      </c>
      <c r="C298" s="156"/>
      <c r="D298" s="156"/>
      <c r="E298" s="35" t="e">
        <f>INDEX(TBL_Manually_added_tariffs[Cost (IF INVESTIGATION)],MATCH(Additional_Inv_Proc_Tariff_List,TBL_Manually_added_tariffs[Activity],0))</f>
        <v>#N/A</v>
      </c>
      <c r="F298" s="181"/>
    </row>
    <row r="299" spans="1:6" hidden="1" x14ac:dyDescent="0.2">
      <c r="A299" s="38" t="e">
        <f>INDEX(Non_Tariff_Cost,MATCH(0,INDEX(COUNTIF($A$205:A298,Non_Tariff_Cost),0,0),0))</f>
        <v>#N/A</v>
      </c>
      <c r="B299" s="288" t="e">
        <f>INDEX(TBL_Manually_added_tariffs[ActivityType],MATCH(Additional_Inv_Proc_Tariff_List,TBL_Manually_added_tariffs[Activity],0))</f>
        <v>#N/A</v>
      </c>
      <c r="C299" s="156"/>
      <c r="D299" s="156"/>
      <c r="E299" s="35" t="e">
        <f>INDEX(TBL_Manually_added_tariffs[Cost (IF INVESTIGATION)],MATCH(Additional_Inv_Proc_Tariff_List,TBL_Manually_added_tariffs[Activity],0))</f>
        <v>#N/A</v>
      </c>
      <c r="F299" s="181"/>
    </row>
    <row r="300" spans="1:6" hidden="1" x14ac:dyDescent="0.2">
      <c r="A300" s="38" t="e">
        <f>INDEX(Non_Tariff_Cost,MATCH(0,INDEX(COUNTIF($A$205:A299,Non_Tariff_Cost),0,0),0))</f>
        <v>#N/A</v>
      </c>
      <c r="B300" s="288" t="e">
        <f>INDEX(TBL_Manually_added_tariffs[ActivityType],MATCH(Additional_Inv_Proc_Tariff_List,TBL_Manually_added_tariffs[Activity],0))</f>
        <v>#N/A</v>
      </c>
      <c r="C300" s="156"/>
      <c r="D300" s="156"/>
      <c r="E300" s="35" t="e">
        <f>INDEX(TBL_Manually_added_tariffs[Cost (IF INVESTIGATION)],MATCH(Additional_Inv_Proc_Tariff_List,TBL_Manually_added_tariffs[Activity],0))</f>
        <v>#N/A</v>
      </c>
      <c r="F300" s="181"/>
    </row>
    <row r="301" spans="1:6" hidden="1" x14ac:dyDescent="0.2">
      <c r="A301" s="38" t="e">
        <f>INDEX(Non_Tariff_Cost,MATCH(0,INDEX(COUNTIF($A$205:A300,Non_Tariff_Cost),0,0),0))</f>
        <v>#N/A</v>
      </c>
      <c r="B301" s="288" t="e">
        <f>INDEX(TBL_Manually_added_tariffs[ActivityType],MATCH(Additional_Inv_Proc_Tariff_List,TBL_Manually_added_tariffs[Activity],0))</f>
        <v>#N/A</v>
      </c>
      <c r="C301" s="156"/>
      <c r="D301" s="156"/>
      <c r="E301" s="35" t="e">
        <f>INDEX(TBL_Manually_added_tariffs[Cost (IF INVESTIGATION)],MATCH(Additional_Inv_Proc_Tariff_List,TBL_Manually_added_tariffs[Activity],0))</f>
        <v>#N/A</v>
      </c>
      <c r="F301" s="181"/>
    </row>
    <row r="302" spans="1:6" hidden="1" x14ac:dyDescent="0.2">
      <c r="A302" s="38" t="e">
        <f>INDEX(Non_Tariff_Cost,MATCH(0,INDEX(COUNTIF($A$205:A301,Non_Tariff_Cost),0,0),0))</f>
        <v>#N/A</v>
      </c>
      <c r="B302" s="288" t="e">
        <f>INDEX(TBL_Manually_added_tariffs[ActivityType],MATCH(Additional_Inv_Proc_Tariff_List,TBL_Manually_added_tariffs[Activity],0))</f>
        <v>#N/A</v>
      </c>
      <c r="C302" s="156"/>
      <c r="D302" s="156"/>
      <c r="E302" s="35" t="e">
        <f>INDEX(TBL_Manually_added_tariffs[Cost (IF INVESTIGATION)],MATCH(Additional_Inv_Proc_Tariff_List,TBL_Manually_added_tariffs[Activity],0))</f>
        <v>#N/A</v>
      </c>
      <c r="F302" s="181"/>
    </row>
    <row r="303" spans="1:6" hidden="1" x14ac:dyDescent="0.2">
      <c r="A303" s="38" t="e">
        <f>INDEX(Non_Tariff_Cost,MATCH(0,INDEX(COUNTIF($A$205:A302,Non_Tariff_Cost),0,0),0))</f>
        <v>#N/A</v>
      </c>
      <c r="B303" s="288" t="e">
        <f>INDEX(TBL_Manually_added_tariffs[ActivityType],MATCH(Additional_Inv_Proc_Tariff_List,TBL_Manually_added_tariffs[Activity],0))</f>
        <v>#N/A</v>
      </c>
      <c r="C303" s="156"/>
      <c r="D303" s="156"/>
      <c r="E303" s="35" t="e">
        <f>INDEX(TBL_Manually_added_tariffs[Cost (IF INVESTIGATION)],MATCH(Additional_Inv_Proc_Tariff_List,TBL_Manually_added_tariffs[Activity],0))</f>
        <v>#N/A</v>
      </c>
      <c r="F303" s="181"/>
    </row>
    <row r="304" spans="1:6" hidden="1" x14ac:dyDescent="0.2">
      <c r="A304" s="38" t="e">
        <f>INDEX(Non_Tariff_Cost,MATCH(0,INDEX(COUNTIF($A$205:A303,Non_Tariff_Cost),0,0),0))</f>
        <v>#N/A</v>
      </c>
      <c r="B304" s="288" t="e">
        <f>INDEX(TBL_Manually_added_tariffs[ActivityType],MATCH(Additional_Inv_Proc_Tariff_List,TBL_Manually_added_tariffs[Activity],0))</f>
        <v>#N/A</v>
      </c>
      <c r="C304" s="156"/>
      <c r="D304" s="156"/>
      <c r="E304" s="35" t="e">
        <f>INDEX(TBL_Manually_added_tariffs[Cost (IF INVESTIGATION)],MATCH(Additional_Inv_Proc_Tariff_List,TBL_Manually_added_tariffs[Activity],0))</f>
        <v>#N/A</v>
      </c>
      <c r="F304" s="181"/>
    </row>
    <row r="305" spans="1:6" hidden="1" x14ac:dyDescent="0.2">
      <c r="A305" s="38" t="e">
        <f>INDEX(Non_Tariff_Cost,MATCH(0,INDEX(COUNTIF($A$205:A304,Non_Tariff_Cost),0,0),0))</f>
        <v>#N/A</v>
      </c>
      <c r="B305" s="288" t="e">
        <f>INDEX(TBL_Manually_added_tariffs[ActivityType],MATCH(Additional_Inv_Proc_Tariff_List,TBL_Manually_added_tariffs[Activity],0))</f>
        <v>#N/A</v>
      </c>
      <c r="C305" s="156"/>
      <c r="D305" s="156"/>
      <c r="E305" s="35" t="e">
        <f>INDEX(TBL_Manually_added_tariffs[Cost (IF INVESTIGATION)],MATCH(Additional_Inv_Proc_Tariff_List,TBL_Manually_added_tariffs[Activity],0))</f>
        <v>#N/A</v>
      </c>
      <c r="F305" s="181"/>
    </row>
    <row r="306" spans="1:6" hidden="1" x14ac:dyDescent="0.2">
      <c r="A306" s="38" t="e">
        <f>INDEX(Non_Tariff_Cost,MATCH(0,INDEX(COUNTIF($A$205:A305,Non_Tariff_Cost),0,0),0))</f>
        <v>#N/A</v>
      </c>
      <c r="B306" s="288" t="e">
        <f>INDEX(TBL_Manually_added_tariffs[ActivityType],MATCH(Additional_Inv_Proc_Tariff_List,TBL_Manually_added_tariffs[Activity],0))</f>
        <v>#N/A</v>
      </c>
      <c r="C306" s="156"/>
      <c r="D306" s="156"/>
      <c r="E306" s="35" t="e">
        <f>INDEX(TBL_Manually_added_tariffs[Cost (IF INVESTIGATION)],MATCH(Additional_Inv_Proc_Tariff_List,TBL_Manually_added_tariffs[Activity],0))</f>
        <v>#N/A</v>
      </c>
      <c r="F306" s="181"/>
    </row>
    <row r="307" spans="1:6" hidden="1" x14ac:dyDescent="0.2">
      <c r="A307" s="38" t="e">
        <f>INDEX(Non_Tariff_Cost,MATCH(0,INDEX(COUNTIF($A$205:A306,Non_Tariff_Cost),0,0),0))</f>
        <v>#N/A</v>
      </c>
      <c r="B307" s="288" t="e">
        <f>INDEX(TBL_Manually_added_tariffs[ActivityType],MATCH(Additional_Inv_Proc_Tariff_List,TBL_Manually_added_tariffs[Activity],0))</f>
        <v>#N/A</v>
      </c>
      <c r="C307" s="156"/>
      <c r="D307" s="156"/>
      <c r="E307" s="35" t="e">
        <f>INDEX(TBL_Manually_added_tariffs[Cost (IF INVESTIGATION)],MATCH(Additional_Inv_Proc_Tariff_List,TBL_Manually_added_tariffs[Activity],0))</f>
        <v>#N/A</v>
      </c>
      <c r="F307" s="181"/>
    </row>
    <row r="308" spans="1:6" hidden="1" x14ac:dyDescent="0.2">
      <c r="A308" s="38" t="e">
        <f>INDEX(Non_Tariff_Cost,MATCH(0,INDEX(COUNTIF($A$205:A307,Non_Tariff_Cost),0,0),0))</f>
        <v>#N/A</v>
      </c>
      <c r="B308" s="288" t="e">
        <f>INDEX(TBL_Manually_added_tariffs[ActivityType],MATCH(Additional_Inv_Proc_Tariff_List,TBL_Manually_added_tariffs[Activity],0))</f>
        <v>#N/A</v>
      </c>
      <c r="C308" s="156"/>
      <c r="D308" s="156"/>
      <c r="E308" s="35" t="e">
        <f>INDEX(TBL_Manually_added_tariffs[Cost (IF INVESTIGATION)],MATCH(Additional_Inv_Proc_Tariff_List,TBL_Manually_added_tariffs[Activity],0))</f>
        <v>#N/A</v>
      </c>
      <c r="F308" s="181"/>
    </row>
    <row r="309" spans="1:6" hidden="1" x14ac:dyDescent="0.2">
      <c r="A309" s="38" t="e">
        <f>INDEX(Non_Tariff_Cost,MATCH(0,INDEX(COUNTIF($A$205:A308,Non_Tariff_Cost),0,0),0))</f>
        <v>#N/A</v>
      </c>
      <c r="B309" s="288" t="e">
        <f>INDEX(TBL_Manually_added_tariffs[ActivityType],MATCH(Additional_Inv_Proc_Tariff_List,TBL_Manually_added_tariffs[Activity],0))</f>
        <v>#N/A</v>
      </c>
      <c r="C309" s="156"/>
      <c r="D309" s="156"/>
      <c r="E309" s="35" t="e">
        <f>INDEX(TBL_Manually_added_tariffs[Cost (IF INVESTIGATION)],MATCH(Additional_Inv_Proc_Tariff_List,TBL_Manually_added_tariffs[Activity],0))</f>
        <v>#N/A</v>
      </c>
      <c r="F309" s="181"/>
    </row>
    <row r="310" spans="1:6" hidden="1" x14ac:dyDescent="0.2">
      <c r="A310" s="38" t="e">
        <f>INDEX(Non_Tariff_Cost,MATCH(0,INDEX(COUNTIF($A$205:A309,Non_Tariff_Cost),0,0),0))</f>
        <v>#N/A</v>
      </c>
      <c r="B310" s="288" t="e">
        <f>INDEX(TBL_Manually_added_tariffs[ActivityType],MATCH(Additional_Inv_Proc_Tariff_List,TBL_Manually_added_tariffs[Activity],0))</f>
        <v>#N/A</v>
      </c>
      <c r="C310" s="156"/>
      <c r="D310" s="156"/>
      <c r="E310" s="35" t="e">
        <f>INDEX(TBL_Manually_added_tariffs[Cost (IF INVESTIGATION)],MATCH(Additional_Inv_Proc_Tariff_List,TBL_Manually_added_tariffs[Activity],0))</f>
        <v>#N/A</v>
      </c>
      <c r="F310" s="181"/>
    </row>
    <row r="311" spans="1:6" hidden="1" x14ac:dyDescent="0.2">
      <c r="A311" s="38" t="e">
        <f>INDEX(Non_Tariff_Cost,MATCH(0,INDEX(COUNTIF($A$205:A310,Non_Tariff_Cost),0,0),0))</f>
        <v>#N/A</v>
      </c>
      <c r="B311" s="288" t="e">
        <f>INDEX(TBL_Manually_added_tariffs[ActivityType],MATCH(Additional_Inv_Proc_Tariff_List,TBL_Manually_added_tariffs[Activity],0))</f>
        <v>#N/A</v>
      </c>
      <c r="C311" s="156"/>
      <c r="D311" s="156"/>
      <c r="E311" s="35" t="e">
        <f>INDEX(TBL_Manually_added_tariffs[Cost (IF INVESTIGATION)],MATCH(Additional_Inv_Proc_Tariff_List,TBL_Manually_added_tariffs[Activity],0))</f>
        <v>#N/A</v>
      </c>
      <c r="F311" s="181"/>
    </row>
    <row r="312" spans="1:6" hidden="1" x14ac:dyDescent="0.2">
      <c r="A312" s="38" t="e">
        <f>INDEX(Non_Tariff_Cost,MATCH(0,INDEX(COUNTIF($A$205:A311,Non_Tariff_Cost),0,0),0))</f>
        <v>#N/A</v>
      </c>
      <c r="B312" s="288" t="e">
        <f>INDEX(TBL_Manually_added_tariffs[ActivityType],MATCH(Additional_Inv_Proc_Tariff_List,TBL_Manually_added_tariffs[Activity],0))</f>
        <v>#N/A</v>
      </c>
      <c r="C312" s="156"/>
      <c r="D312" s="156"/>
      <c r="E312" s="35" t="e">
        <f>INDEX(TBL_Manually_added_tariffs[Cost (IF INVESTIGATION)],MATCH(Additional_Inv_Proc_Tariff_List,TBL_Manually_added_tariffs[Activity],0))</f>
        <v>#N/A</v>
      </c>
      <c r="F312" s="181"/>
    </row>
    <row r="313" spans="1:6" hidden="1" x14ac:dyDescent="0.2">
      <c r="A313" s="38" t="e">
        <f>INDEX(Non_Tariff_Cost,MATCH(0,INDEX(COUNTIF($A$205:A312,Non_Tariff_Cost),0,0),0))</f>
        <v>#N/A</v>
      </c>
      <c r="B313" s="288" t="e">
        <f>INDEX(TBL_Manually_added_tariffs[ActivityType],MATCH(Additional_Inv_Proc_Tariff_List,TBL_Manually_added_tariffs[Activity],0))</f>
        <v>#N/A</v>
      </c>
      <c r="C313" s="156"/>
      <c r="D313" s="156"/>
      <c r="E313" s="35" t="e">
        <f>INDEX(TBL_Manually_added_tariffs[Cost (IF INVESTIGATION)],MATCH(Additional_Inv_Proc_Tariff_List,TBL_Manually_added_tariffs[Activity],0))</f>
        <v>#N/A</v>
      </c>
      <c r="F313" s="181"/>
    </row>
    <row r="314" spans="1:6" hidden="1" x14ac:dyDescent="0.2">
      <c r="A314" s="38" t="e">
        <f>INDEX(Non_Tariff_Cost,MATCH(0,INDEX(COUNTIF($A$205:A313,Non_Tariff_Cost),0,0),0))</f>
        <v>#N/A</v>
      </c>
      <c r="B314" s="288" t="e">
        <f>INDEX(TBL_Manually_added_tariffs[ActivityType],MATCH(Additional_Inv_Proc_Tariff_List,TBL_Manually_added_tariffs[Activity],0))</f>
        <v>#N/A</v>
      </c>
      <c r="C314" s="156"/>
      <c r="D314" s="156"/>
      <c r="E314" s="35" t="e">
        <f>INDEX(TBL_Manually_added_tariffs[Cost (IF INVESTIGATION)],MATCH(Additional_Inv_Proc_Tariff_List,TBL_Manually_added_tariffs[Activity],0))</f>
        <v>#N/A</v>
      </c>
      <c r="F314" s="181"/>
    </row>
    <row r="315" spans="1:6" hidden="1" x14ac:dyDescent="0.2">
      <c r="A315" s="38" t="e">
        <f>INDEX(Non_Tariff_Cost,MATCH(0,INDEX(COUNTIF($A$205:A314,Non_Tariff_Cost),0,0),0))</f>
        <v>#N/A</v>
      </c>
      <c r="B315" s="288" t="e">
        <f>INDEX(TBL_Manually_added_tariffs[ActivityType],MATCH(Additional_Inv_Proc_Tariff_List,TBL_Manually_added_tariffs[Activity],0))</f>
        <v>#N/A</v>
      </c>
      <c r="C315" s="156"/>
      <c r="D315" s="156"/>
      <c r="E315" s="35" t="e">
        <f>INDEX(TBL_Manually_added_tariffs[Cost (IF INVESTIGATION)],MATCH(Additional_Inv_Proc_Tariff_List,TBL_Manually_added_tariffs[Activity],0))</f>
        <v>#N/A</v>
      </c>
      <c r="F315" s="181"/>
    </row>
    <row r="316" spans="1:6" hidden="1" x14ac:dyDescent="0.2">
      <c r="A316" s="38" t="e">
        <f>INDEX(Non_Tariff_Cost,MATCH(0,INDEX(COUNTIF($A$205:A315,Non_Tariff_Cost),0,0),0))</f>
        <v>#N/A</v>
      </c>
      <c r="B316" s="288" t="e">
        <f>INDEX(TBL_Manually_added_tariffs[ActivityType],MATCH(Additional_Inv_Proc_Tariff_List,TBL_Manually_added_tariffs[Activity],0))</f>
        <v>#N/A</v>
      </c>
      <c r="C316" s="156"/>
      <c r="D316" s="156"/>
      <c r="E316" s="35" t="e">
        <f>INDEX(TBL_Manually_added_tariffs[Cost (IF INVESTIGATION)],MATCH(Additional_Inv_Proc_Tariff_List,TBL_Manually_added_tariffs[Activity],0))</f>
        <v>#N/A</v>
      </c>
      <c r="F316" s="181"/>
    </row>
    <row r="317" spans="1:6" hidden="1" x14ac:dyDescent="0.2">
      <c r="A317" s="38" t="e">
        <f>INDEX(Non_Tariff_Cost,MATCH(0,INDEX(COUNTIF($A$205:A316,Non_Tariff_Cost),0,0),0))</f>
        <v>#N/A</v>
      </c>
      <c r="B317" s="288" t="e">
        <f>INDEX(TBL_Manually_added_tariffs[ActivityType],MATCH(Additional_Inv_Proc_Tariff_List,TBL_Manually_added_tariffs[Activity],0))</f>
        <v>#N/A</v>
      </c>
      <c r="C317" s="156"/>
      <c r="D317" s="156"/>
      <c r="E317" s="35" t="e">
        <f>INDEX(TBL_Manually_added_tariffs[Cost (IF INVESTIGATION)],MATCH(Additional_Inv_Proc_Tariff_List,TBL_Manually_added_tariffs[Activity],0))</f>
        <v>#N/A</v>
      </c>
      <c r="F317" s="181"/>
    </row>
    <row r="318" spans="1:6" hidden="1" x14ac:dyDescent="0.2">
      <c r="A318" s="38" t="e">
        <f>INDEX(Non_Tariff_Cost,MATCH(0,INDEX(COUNTIF($A$205:A317,Non_Tariff_Cost),0,0),0))</f>
        <v>#N/A</v>
      </c>
      <c r="B318" s="288" t="e">
        <f>INDEX(TBL_Manually_added_tariffs[ActivityType],MATCH(Additional_Inv_Proc_Tariff_List,TBL_Manually_added_tariffs[Activity],0))</f>
        <v>#N/A</v>
      </c>
      <c r="C318" s="156"/>
      <c r="D318" s="156"/>
      <c r="E318" s="35" t="e">
        <f>INDEX(TBL_Manually_added_tariffs[Cost (IF INVESTIGATION)],MATCH(Additional_Inv_Proc_Tariff_List,TBL_Manually_added_tariffs[Activity],0))</f>
        <v>#N/A</v>
      </c>
      <c r="F318" s="181"/>
    </row>
    <row r="319" spans="1:6" hidden="1" x14ac:dyDescent="0.2">
      <c r="A319" s="38" t="e">
        <f>INDEX(Non_Tariff_Cost,MATCH(0,INDEX(COUNTIF($A$205:A318,Non_Tariff_Cost),0,0),0))</f>
        <v>#N/A</v>
      </c>
      <c r="B319" s="288" t="e">
        <f>INDEX(TBL_Manually_added_tariffs[ActivityType],MATCH(Additional_Inv_Proc_Tariff_List,TBL_Manually_added_tariffs[Activity],0))</f>
        <v>#N/A</v>
      </c>
      <c r="C319" s="156"/>
      <c r="D319" s="156"/>
      <c r="E319" s="35" t="e">
        <f>INDEX(TBL_Manually_added_tariffs[Cost (IF INVESTIGATION)],MATCH(Additional_Inv_Proc_Tariff_List,TBL_Manually_added_tariffs[Activity],0))</f>
        <v>#N/A</v>
      </c>
      <c r="F319" s="181"/>
    </row>
    <row r="320" spans="1:6" hidden="1" x14ac:dyDescent="0.2">
      <c r="A320" s="38" t="e">
        <f>INDEX(Non_Tariff_Cost,MATCH(0,INDEX(COUNTIF($A$205:A319,Non_Tariff_Cost),0,0),0))</f>
        <v>#N/A</v>
      </c>
      <c r="B320" s="288" t="e">
        <f>INDEX(TBL_Manually_added_tariffs[ActivityType],MATCH(Additional_Inv_Proc_Tariff_List,TBL_Manually_added_tariffs[Activity],0))</f>
        <v>#N/A</v>
      </c>
      <c r="C320" s="156"/>
      <c r="D320" s="156"/>
      <c r="E320" s="35" t="e">
        <f>INDEX(TBL_Manually_added_tariffs[Cost (IF INVESTIGATION)],MATCH(Additional_Inv_Proc_Tariff_List,TBL_Manually_added_tariffs[Activity],0))</f>
        <v>#N/A</v>
      </c>
      <c r="F320" s="181"/>
    </row>
    <row r="321" spans="1:6" hidden="1" x14ac:dyDescent="0.2">
      <c r="A321" s="38" t="e">
        <f>INDEX(Non_Tariff_Cost,MATCH(0,INDEX(COUNTIF($A$205:A320,Non_Tariff_Cost),0,0),0))</f>
        <v>#N/A</v>
      </c>
      <c r="B321" s="288" t="e">
        <f>INDEX(TBL_Manually_added_tariffs[ActivityType],MATCH(Additional_Inv_Proc_Tariff_List,TBL_Manually_added_tariffs[Activity],0))</f>
        <v>#N/A</v>
      </c>
      <c r="C321" s="156"/>
      <c r="D321" s="156"/>
      <c r="E321" s="35" t="e">
        <f>INDEX(TBL_Manually_added_tariffs[Cost (IF INVESTIGATION)],MATCH(Additional_Inv_Proc_Tariff_List,TBL_Manually_added_tariffs[Activity],0))</f>
        <v>#N/A</v>
      </c>
      <c r="F321" s="181"/>
    </row>
    <row r="322" spans="1:6" hidden="1" x14ac:dyDescent="0.2">
      <c r="A322" s="38" t="e">
        <f>INDEX(Non_Tariff_Cost,MATCH(0,INDEX(COUNTIF($A$205:A321,Non_Tariff_Cost),0,0),0))</f>
        <v>#N/A</v>
      </c>
      <c r="B322" s="288" t="e">
        <f>INDEX(TBL_Manually_added_tariffs[ActivityType],MATCH(Additional_Inv_Proc_Tariff_List,TBL_Manually_added_tariffs[Activity],0))</f>
        <v>#N/A</v>
      </c>
      <c r="C322" s="156"/>
      <c r="D322" s="156"/>
      <c r="E322" s="35" t="e">
        <f>INDEX(TBL_Manually_added_tariffs[Cost (IF INVESTIGATION)],MATCH(Additional_Inv_Proc_Tariff_List,TBL_Manually_added_tariffs[Activity],0))</f>
        <v>#N/A</v>
      </c>
      <c r="F322" s="181"/>
    </row>
    <row r="323" spans="1:6" hidden="1" x14ac:dyDescent="0.2">
      <c r="A323" s="38" t="e">
        <f>INDEX(Non_Tariff_Cost,MATCH(0,INDEX(COUNTIF($A$205:A322,Non_Tariff_Cost),0,0),0))</f>
        <v>#N/A</v>
      </c>
      <c r="B323" s="288" t="e">
        <f>INDEX(TBL_Manually_added_tariffs[ActivityType],MATCH(Additional_Inv_Proc_Tariff_List,TBL_Manually_added_tariffs[Activity],0))</f>
        <v>#N/A</v>
      </c>
      <c r="C323" s="156"/>
      <c r="D323" s="156"/>
      <c r="E323" s="35" t="e">
        <f>INDEX(TBL_Manually_added_tariffs[Cost (IF INVESTIGATION)],MATCH(Additional_Inv_Proc_Tariff_List,TBL_Manually_added_tariffs[Activity],0))</f>
        <v>#N/A</v>
      </c>
      <c r="F323" s="181"/>
    </row>
    <row r="324" spans="1:6" hidden="1" x14ac:dyDescent="0.2">
      <c r="A324" s="38" t="e">
        <f>INDEX(Non_Tariff_Cost,MATCH(0,INDEX(COUNTIF($A$205:A323,Non_Tariff_Cost),0,0),0))</f>
        <v>#N/A</v>
      </c>
      <c r="B324" s="288" t="e">
        <f>INDEX(TBL_Manually_added_tariffs[ActivityType],MATCH(Additional_Inv_Proc_Tariff_List,TBL_Manually_added_tariffs[Activity],0))</f>
        <v>#N/A</v>
      </c>
      <c r="C324" s="156"/>
      <c r="D324" s="156"/>
      <c r="E324" s="35" t="e">
        <f>INDEX(TBL_Manually_added_tariffs[Cost (IF INVESTIGATION)],MATCH(Additional_Inv_Proc_Tariff_List,TBL_Manually_added_tariffs[Activity],0))</f>
        <v>#N/A</v>
      </c>
      <c r="F324" s="181"/>
    </row>
    <row r="325" spans="1:6" hidden="1" x14ac:dyDescent="0.2">
      <c r="A325" s="38" t="e">
        <f>INDEX(Non_Tariff_Cost,MATCH(0,INDEX(COUNTIF($A$205:A324,Non_Tariff_Cost),0,0),0))</f>
        <v>#N/A</v>
      </c>
      <c r="B325" s="288" t="e">
        <f>INDEX(TBL_Manually_added_tariffs[ActivityType],MATCH(Additional_Inv_Proc_Tariff_List,TBL_Manually_added_tariffs[Activity],0))</f>
        <v>#N/A</v>
      </c>
      <c r="C325" s="156"/>
      <c r="D325" s="156"/>
      <c r="E325" s="35" t="e">
        <f>INDEX(TBL_Manually_added_tariffs[Cost (IF INVESTIGATION)],MATCH(Additional_Inv_Proc_Tariff_List,TBL_Manually_added_tariffs[Activity],0))</f>
        <v>#N/A</v>
      </c>
      <c r="F325" s="181"/>
    </row>
    <row r="326" spans="1:6" hidden="1" x14ac:dyDescent="0.2">
      <c r="A326" s="38" t="e">
        <f>INDEX(Non_Tariff_Cost,MATCH(0,INDEX(COUNTIF($A$205:A325,Non_Tariff_Cost),0,0),0))</f>
        <v>#N/A</v>
      </c>
      <c r="B326" s="288" t="e">
        <f>INDEX(TBL_Manually_added_tariffs[ActivityType],MATCH(Additional_Inv_Proc_Tariff_List,TBL_Manually_added_tariffs[Activity],0))</f>
        <v>#N/A</v>
      </c>
      <c r="C326" s="156"/>
      <c r="D326" s="156"/>
      <c r="E326" s="35" t="e">
        <f>INDEX(TBL_Manually_added_tariffs[Cost (IF INVESTIGATION)],MATCH(Additional_Inv_Proc_Tariff_List,TBL_Manually_added_tariffs[Activity],0))</f>
        <v>#N/A</v>
      </c>
      <c r="F326" s="181"/>
    </row>
    <row r="327" spans="1:6" hidden="1" x14ac:dyDescent="0.2">
      <c r="A327" s="38" t="e">
        <f>INDEX(Non_Tariff_Cost,MATCH(0,INDEX(COUNTIF($A$205:A326,Non_Tariff_Cost),0,0),0))</f>
        <v>#N/A</v>
      </c>
      <c r="B327" s="288" t="e">
        <f>INDEX(TBL_Manually_added_tariffs[ActivityType],MATCH(Additional_Inv_Proc_Tariff_List,TBL_Manually_added_tariffs[Activity],0))</f>
        <v>#N/A</v>
      </c>
      <c r="C327" s="156"/>
      <c r="D327" s="156"/>
      <c r="E327" s="35" t="e">
        <f>INDEX(TBL_Manually_added_tariffs[Cost (IF INVESTIGATION)],MATCH(Additional_Inv_Proc_Tariff_List,TBL_Manually_added_tariffs[Activity],0))</f>
        <v>#N/A</v>
      </c>
      <c r="F327" s="181"/>
    </row>
    <row r="328" spans="1:6" hidden="1" x14ac:dyDescent="0.2">
      <c r="A328" s="38" t="e">
        <f>INDEX(Non_Tariff_Cost,MATCH(0,INDEX(COUNTIF($A$205:A327,Non_Tariff_Cost),0,0),0))</f>
        <v>#N/A</v>
      </c>
      <c r="B328" s="288" t="e">
        <f>INDEX(TBL_Manually_added_tariffs[ActivityType],MATCH(Additional_Inv_Proc_Tariff_List,TBL_Manually_added_tariffs[Activity],0))</f>
        <v>#N/A</v>
      </c>
      <c r="C328" s="156"/>
      <c r="D328" s="156"/>
      <c r="E328" s="35" t="e">
        <f>INDEX(TBL_Manually_added_tariffs[Cost (IF INVESTIGATION)],MATCH(Additional_Inv_Proc_Tariff_List,TBL_Manually_added_tariffs[Activity],0))</f>
        <v>#N/A</v>
      </c>
      <c r="F328" s="181"/>
    </row>
    <row r="329" spans="1:6" hidden="1" x14ac:dyDescent="0.2">
      <c r="A329" s="38" t="e">
        <f>INDEX(Non_Tariff_Cost,MATCH(0,INDEX(COUNTIF($A$205:A328,Non_Tariff_Cost),0,0),0))</f>
        <v>#N/A</v>
      </c>
      <c r="B329" s="288" t="e">
        <f>INDEX(TBL_Manually_added_tariffs[ActivityType],MATCH(Additional_Inv_Proc_Tariff_List,TBL_Manually_added_tariffs[Activity],0))</f>
        <v>#N/A</v>
      </c>
      <c r="C329" s="156"/>
      <c r="D329" s="156"/>
      <c r="E329" s="35" t="e">
        <f>INDEX(TBL_Manually_added_tariffs[Cost (IF INVESTIGATION)],MATCH(Additional_Inv_Proc_Tariff_List,TBL_Manually_added_tariffs[Activity],0))</f>
        <v>#N/A</v>
      </c>
      <c r="F329" s="181"/>
    </row>
    <row r="330" spans="1:6" hidden="1" x14ac:dyDescent="0.2">
      <c r="A330" s="38" t="e">
        <f>INDEX(Non_Tariff_Cost,MATCH(0,INDEX(COUNTIF($A$205:A329,Non_Tariff_Cost),0,0),0))</f>
        <v>#N/A</v>
      </c>
      <c r="B330" s="288" t="e">
        <f>INDEX(TBL_Manually_added_tariffs[ActivityType],MATCH(Additional_Inv_Proc_Tariff_List,TBL_Manually_added_tariffs[Activity],0))</f>
        <v>#N/A</v>
      </c>
      <c r="C330" s="156"/>
      <c r="D330" s="156"/>
      <c r="E330" s="35" t="e">
        <f>INDEX(TBL_Manually_added_tariffs[Cost (IF INVESTIGATION)],MATCH(Additional_Inv_Proc_Tariff_List,TBL_Manually_added_tariffs[Activity],0))</f>
        <v>#N/A</v>
      </c>
      <c r="F330" s="181"/>
    </row>
    <row r="331" spans="1:6" hidden="1" x14ac:dyDescent="0.2">
      <c r="A331" s="38" t="e">
        <f>INDEX(Non_Tariff_Cost,MATCH(0,INDEX(COUNTIF($A$205:A330,Non_Tariff_Cost),0,0),0))</f>
        <v>#N/A</v>
      </c>
      <c r="B331" s="288" t="e">
        <f>INDEX(TBL_Manually_added_tariffs[ActivityType],MATCH(Additional_Inv_Proc_Tariff_List,TBL_Manually_added_tariffs[Activity],0))</f>
        <v>#N/A</v>
      </c>
      <c r="C331" s="156"/>
      <c r="D331" s="156"/>
      <c r="E331" s="35" t="e">
        <f>INDEX(TBL_Manually_added_tariffs[Cost (IF INVESTIGATION)],MATCH(Additional_Inv_Proc_Tariff_List,TBL_Manually_added_tariffs[Activity],0))</f>
        <v>#N/A</v>
      </c>
      <c r="F331" s="181"/>
    </row>
    <row r="332" spans="1:6" hidden="1" x14ac:dyDescent="0.2">
      <c r="A332" s="38" t="e">
        <f>INDEX(Non_Tariff_Cost,MATCH(0,INDEX(COUNTIF($A$205:A331,Non_Tariff_Cost),0,0),0))</f>
        <v>#N/A</v>
      </c>
      <c r="B332" s="288" t="e">
        <f>INDEX(TBL_Manually_added_tariffs[ActivityType],MATCH(Additional_Inv_Proc_Tariff_List,TBL_Manually_added_tariffs[Activity],0))</f>
        <v>#N/A</v>
      </c>
      <c r="C332" s="156"/>
      <c r="D332" s="156"/>
      <c r="E332" s="35" t="e">
        <f>INDEX(TBL_Manually_added_tariffs[Cost (IF INVESTIGATION)],MATCH(Additional_Inv_Proc_Tariff_List,TBL_Manually_added_tariffs[Activity],0))</f>
        <v>#N/A</v>
      </c>
      <c r="F332" s="181"/>
    </row>
    <row r="333" spans="1:6" hidden="1" x14ac:dyDescent="0.2">
      <c r="A333" s="38" t="e">
        <f>INDEX(Non_Tariff_Cost,MATCH(0,INDEX(COUNTIF($A$205:A332,Non_Tariff_Cost),0,0),0))</f>
        <v>#N/A</v>
      </c>
      <c r="B333" s="288" t="e">
        <f>INDEX(TBL_Manually_added_tariffs[ActivityType],MATCH(Additional_Inv_Proc_Tariff_List,TBL_Manually_added_tariffs[Activity],0))</f>
        <v>#N/A</v>
      </c>
      <c r="C333" s="156"/>
      <c r="D333" s="156"/>
      <c r="E333" s="35" t="e">
        <f>INDEX(TBL_Manually_added_tariffs[Cost (IF INVESTIGATION)],MATCH(Additional_Inv_Proc_Tariff_List,TBL_Manually_added_tariffs[Activity],0))</f>
        <v>#N/A</v>
      </c>
      <c r="F333" s="181"/>
    </row>
    <row r="334" spans="1:6" hidden="1" x14ac:dyDescent="0.2">
      <c r="A334" s="38" t="e">
        <f>INDEX(Non_Tariff_Cost,MATCH(0,INDEX(COUNTIF($A$205:A333,Non_Tariff_Cost),0,0),0))</f>
        <v>#N/A</v>
      </c>
      <c r="B334" s="288" t="e">
        <f>INDEX(TBL_Manually_added_tariffs[ActivityType],MATCH(Additional_Inv_Proc_Tariff_List,TBL_Manually_added_tariffs[Activity],0))</f>
        <v>#N/A</v>
      </c>
      <c r="C334" s="156"/>
      <c r="D334" s="156"/>
      <c r="E334" s="35" t="e">
        <f>INDEX(TBL_Manually_added_tariffs[Cost (IF INVESTIGATION)],MATCH(Additional_Inv_Proc_Tariff_List,TBL_Manually_added_tariffs[Activity],0))</f>
        <v>#N/A</v>
      </c>
      <c r="F334" s="181"/>
    </row>
    <row r="335" spans="1:6" hidden="1" x14ac:dyDescent="0.2">
      <c r="A335" s="38" t="e">
        <f>INDEX(Non_Tariff_Cost,MATCH(0,INDEX(COUNTIF($A$205:A334,Non_Tariff_Cost),0,0),0))</f>
        <v>#N/A</v>
      </c>
      <c r="B335" s="288" t="e">
        <f>INDEX(TBL_Manually_added_tariffs[ActivityType],MATCH(Additional_Inv_Proc_Tariff_List,TBL_Manually_added_tariffs[Activity],0))</f>
        <v>#N/A</v>
      </c>
      <c r="C335" s="156"/>
      <c r="D335" s="156"/>
      <c r="E335" s="35" t="e">
        <f>INDEX(TBL_Manually_added_tariffs[Cost (IF INVESTIGATION)],MATCH(Additional_Inv_Proc_Tariff_List,TBL_Manually_added_tariffs[Activity],0))</f>
        <v>#N/A</v>
      </c>
      <c r="F335" s="181"/>
    </row>
    <row r="336" spans="1:6" hidden="1" x14ac:dyDescent="0.2">
      <c r="A336" s="38" t="e">
        <f>INDEX(Non_Tariff_Cost,MATCH(0,INDEX(COUNTIF($A$205:A335,Non_Tariff_Cost),0,0),0))</f>
        <v>#N/A</v>
      </c>
      <c r="B336" s="288" t="e">
        <f>INDEX(TBL_Manually_added_tariffs[ActivityType],MATCH(Additional_Inv_Proc_Tariff_List,TBL_Manually_added_tariffs[Activity],0))</f>
        <v>#N/A</v>
      </c>
      <c r="C336" s="156"/>
      <c r="D336" s="156"/>
      <c r="E336" s="35" t="e">
        <f>INDEX(TBL_Manually_added_tariffs[Cost (IF INVESTIGATION)],MATCH(Additional_Inv_Proc_Tariff_List,TBL_Manually_added_tariffs[Activity],0))</f>
        <v>#N/A</v>
      </c>
      <c r="F336" s="181"/>
    </row>
    <row r="337" spans="1:6" hidden="1" x14ac:dyDescent="0.2">
      <c r="A337" s="38" t="e">
        <f>INDEX(Non_Tariff_Cost,MATCH(0,INDEX(COUNTIF($A$205:A336,Non_Tariff_Cost),0,0),0))</f>
        <v>#N/A</v>
      </c>
      <c r="B337" s="288" t="e">
        <f>INDEX(TBL_Manually_added_tariffs[ActivityType],MATCH(Additional_Inv_Proc_Tariff_List,TBL_Manually_added_tariffs[Activity],0))</f>
        <v>#N/A</v>
      </c>
      <c r="C337" s="156"/>
      <c r="D337" s="156"/>
      <c r="E337" s="35" t="e">
        <f>INDEX(TBL_Manually_added_tariffs[Cost (IF INVESTIGATION)],MATCH(Additional_Inv_Proc_Tariff_List,TBL_Manually_added_tariffs[Activity],0))</f>
        <v>#N/A</v>
      </c>
      <c r="F337" s="181"/>
    </row>
    <row r="338" spans="1:6" hidden="1" x14ac:dyDescent="0.2">
      <c r="A338" s="38" t="e">
        <f>INDEX(Non_Tariff_Cost,MATCH(0,INDEX(COUNTIF($A$205:A337,Non_Tariff_Cost),0,0),0))</f>
        <v>#N/A</v>
      </c>
      <c r="B338" s="288" t="e">
        <f>INDEX(TBL_Manually_added_tariffs[ActivityType],MATCH(Additional_Inv_Proc_Tariff_List,TBL_Manually_added_tariffs[Activity],0))</f>
        <v>#N/A</v>
      </c>
      <c r="C338" s="156"/>
      <c r="D338" s="156"/>
      <c r="E338" s="35" t="e">
        <f>INDEX(TBL_Manually_added_tariffs[Cost (IF INVESTIGATION)],MATCH(Additional_Inv_Proc_Tariff_List,TBL_Manually_added_tariffs[Activity],0))</f>
        <v>#N/A</v>
      </c>
      <c r="F338" s="181"/>
    </row>
    <row r="339" spans="1:6" hidden="1" x14ac:dyDescent="0.2">
      <c r="A339" s="38" t="e">
        <f>INDEX(Non_Tariff_Cost,MATCH(0,INDEX(COUNTIF($A$205:A338,Non_Tariff_Cost),0,0),0))</f>
        <v>#N/A</v>
      </c>
      <c r="B339" s="288" t="e">
        <f>INDEX(TBL_Manually_added_tariffs[ActivityType],MATCH(Additional_Inv_Proc_Tariff_List,TBL_Manually_added_tariffs[Activity],0))</f>
        <v>#N/A</v>
      </c>
      <c r="C339" s="156"/>
      <c r="D339" s="156"/>
      <c r="E339" s="35" t="e">
        <f>INDEX(TBL_Manually_added_tariffs[Cost (IF INVESTIGATION)],MATCH(Additional_Inv_Proc_Tariff_List,TBL_Manually_added_tariffs[Activity],0))</f>
        <v>#N/A</v>
      </c>
      <c r="F339" s="181"/>
    </row>
    <row r="340" spans="1:6" hidden="1" x14ac:dyDescent="0.2">
      <c r="A340" s="38" t="e">
        <f>INDEX(Non_Tariff_Cost,MATCH(0,INDEX(COUNTIF($A$205:A339,Non_Tariff_Cost),0,0),0))</f>
        <v>#N/A</v>
      </c>
      <c r="B340" s="288" t="e">
        <f>INDEX(TBL_Manually_added_tariffs[ActivityType],MATCH(Additional_Inv_Proc_Tariff_List,TBL_Manually_added_tariffs[Activity],0))</f>
        <v>#N/A</v>
      </c>
      <c r="C340" s="156"/>
      <c r="D340" s="156"/>
      <c r="E340" s="35" t="e">
        <f>INDEX(TBL_Manually_added_tariffs[Cost (IF INVESTIGATION)],MATCH(Additional_Inv_Proc_Tariff_List,TBL_Manually_added_tariffs[Activity],0))</f>
        <v>#N/A</v>
      </c>
      <c r="F340" s="181"/>
    </row>
    <row r="341" spans="1:6" hidden="1" x14ac:dyDescent="0.2">
      <c r="A341" s="38" t="e">
        <f>INDEX(Non_Tariff_Cost,MATCH(0,INDEX(COUNTIF($A$205:A340,Non_Tariff_Cost),0,0),0))</f>
        <v>#N/A</v>
      </c>
      <c r="B341" s="288" t="e">
        <f>INDEX(TBL_Manually_added_tariffs[ActivityType],MATCH(Additional_Inv_Proc_Tariff_List,TBL_Manually_added_tariffs[Activity],0))</f>
        <v>#N/A</v>
      </c>
      <c r="C341" s="156"/>
      <c r="D341" s="156"/>
      <c r="E341" s="35" t="e">
        <f>INDEX(TBL_Manually_added_tariffs[Cost (IF INVESTIGATION)],MATCH(Additional_Inv_Proc_Tariff_List,TBL_Manually_added_tariffs[Activity],0))</f>
        <v>#N/A</v>
      </c>
      <c r="F341" s="181"/>
    </row>
    <row r="342" spans="1:6" hidden="1" x14ac:dyDescent="0.2">
      <c r="A342" s="38" t="e">
        <f>INDEX(Non_Tariff_Cost,MATCH(0,INDEX(COUNTIF($A$205:A341,Non_Tariff_Cost),0,0),0))</f>
        <v>#N/A</v>
      </c>
      <c r="B342" s="288" t="e">
        <f>INDEX(TBL_Manually_added_tariffs[ActivityType],MATCH(Additional_Inv_Proc_Tariff_List,TBL_Manually_added_tariffs[Activity],0))</f>
        <v>#N/A</v>
      </c>
      <c r="C342" s="156"/>
      <c r="D342" s="156"/>
      <c r="E342" s="35" t="e">
        <f>INDEX(TBL_Manually_added_tariffs[Cost (IF INVESTIGATION)],MATCH(Additional_Inv_Proc_Tariff_List,TBL_Manually_added_tariffs[Activity],0))</f>
        <v>#N/A</v>
      </c>
      <c r="F342" s="181"/>
    </row>
    <row r="343" spans="1:6" hidden="1" x14ac:dyDescent="0.2">
      <c r="A343" s="38" t="e">
        <f>INDEX(Non_Tariff_Cost,MATCH(0,INDEX(COUNTIF($A$205:A342,Non_Tariff_Cost),0,0),0))</f>
        <v>#N/A</v>
      </c>
      <c r="B343" s="288" t="e">
        <f>INDEX(TBL_Manually_added_tariffs[ActivityType],MATCH(Additional_Inv_Proc_Tariff_List,TBL_Manually_added_tariffs[Activity],0))</f>
        <v>#N/A</v>
      </c>
      <c r="C343" s="156"/>
      <c r="D343" s="156"/>
      <c r="E343" s="35" t="e">
        <f>INDEX(TBL_Manually_added_tariffs[Cost (IF INVESTIGATION)],MATCH(Additional_Inv_Proc_Tariff_List,TBL_Manually_added_tariffs[Activity],0))</f>
        <v>#N/A</v>
      </c>
      <c r="F343" s="181"/>
    </row>
    <row r="344" spans="1:6" hidden="1" x14ac:dyDescent="0.2">
      <c r="A344" s="38" t="e">
        <f>INDEX(Non_Tariff_Cost,MATCH(0,INDEX(COUNTIF($A$205:A343,Non_Tariff_Cost),0,0),0))</f>
        <v>#N/A</v>
      </c>
      <c r="B344" s="288" t="e">
        <f>INDEX(TBL_Manually_added_tariffs[ActivityType],MATCH(Additional_Inv_Proc_Tariff_List,TBL_Manually_added_tariffs[Activity],0))</f>
        <v>#N/A</v>
      </c>
      <c r="C344" s="156"/>
      <c r="D344" s="156"/>
      <c r="E344" s="35" t="e">
        <f>INDEX(TBL_Manually_added_tariffs[Cost (IF INVESTIGATION)],MATCH(Additional_Inv_Proc_Tariff_List,TBL_Manually_added_tariffs[Activity],0))</f>
        <v>#N/A</v>
      </c>
      <c r="F344" s="181"/>
    </row>
    <row r="345" spans="1:6" hidden="1" x14ac:dyDescent="0.2">
      <c r="A345" s="38" t="e">
        <f>INDEX(Non_Tariff_Cost,MATCH(0,INDEX(COUNTIF($A$205:A344,Non_Tariff_Cost),0,0),0))</f>
        <v>#N/A</v>
      </c>
      <c r="B345" s="288" t="e">
        <f>INDEX(TBL_Manually_added_tariffs[ActivityType],MATCH(Additional_Inv_Proc_Tariff_List,TBL_Manually_added_tariffs[Activity],0))</f>
        <v>#N/A</v>
      </c>
      <c r="C345" s="156"/>
      <c r="D345" s="156"/>
      <c r="E345" s="35" t="e">
        <f>INDEX(TBL_Manually_added_tariffs[Cost (IF INVESTIGATION)],MATCH(Additional_Inv_Proc_Tariff_List,TBL_Manually_added_tariffs[Activity],0))</f>
        <v>#N/A</v>
      </c>
      <c r="F345" s="181"/>
    </row>
    <row r="346" spans="1:6" hidden="1" x14ac:dyDescent="0.2">
      <c r="A346" s="38" t="e">
        <f>INDEX(Non_Tariff_Cost,MATCH(0,INDEX(COUNTIF($A$205:A345,Non_Tariff_Cost),0,0),0))</f>
        <v>#N/A</v>
      </c>
      <c r="B346" s="288" t="e">
        <f>INDEX(TBL_Manually_added_tariffs[ActivityType],MATCH(Additional_Inv_Proc_Tariff_List,TBL_Manually_added_tariffs[Activity],0))</f>
        <v>#N/A</v>
      </c>
      <c r="C346" s="156"/>
      <c r="D346" s="156"/>
      <c r="E346" s="35" t="e">
        <f>INDEX(TBL_Manually_added_tariffs[Cost (IF INVESTIGATION)],MATCH(Additional_Inv_Proc_Tariff_List,TBL_Manually_added_tariffs[Activity],0))</f>
        <v>#N/A</v>
      </c>
      <c r="F346" s="181"/>
    </row>
    <row r="347" spans="1:6" hidden="1" x14ac:dyDescent="0.2">
      <c r="A347" s="38" t="e">
        <f>INDEX(Non_Tariff_Cost,MATCH(0,INDEX(COUNTIF($A$205:A346,Non_Tariff_Cost),0,0),0))</f>
        <v>#N/A</v>
      </c>
      <c r="B347" s="288" t="e">
        <f>INDEX(TBL_Manually_added_tariffs[ActivityType],MATCH(Additional_Inv_Proc_Tariff_List,TBL_Manually_added_tariffs[Activity],0))</f>
        <v>#N/A</v>
      </c>
      <c r="C347" s="156"/>
      <c r="D347" s="156"/>
      <c r="E347" s="35" t="e">
        <f>INDEX(TBL_Manually_added_tariffs[Cost (IF INVESTIGATION)],MATCH(Additional_Inv_Proc_Tariff_List,TBL_Manually_added_tariffs[Activity],0))</f>
        <v>#N/A</v>
      </c>
      <c r="F347" s="181"/>
    </row>
    <row r="348" spans="1:6" hidden="1" x14ac:dyDescent="0.2">
      <c r="A348" s="38" t="e">
        <f>INDEX(Non_Tariff_Cost,MATCH(0,INDEX(COUNTIF($A$205:A347,Non_Tariff_Cost),0,0),0))</f>
        <v>#N/A</v>
      </c>
      <c r="B348" s="288" t="e">
        <f>INDEX(TBL_Manually_added_tariffs[ActivityType],MATCH(Additional_Inv_Proc_Tariff_List,TBL_Manually_added_tariffs[Activity],0))</f>
        <v>#N/A</v>
      </c>
      <c r="C348" s="156"/>
      <c r="D348" s="156"/>
      <c r="E348" s="35" t="e">
        <f>INDEX(TBL_Manually_added_tariffs[Cost (IF INVESTIGATION)],MATCH(Additional_Inv_Proc_Tariff_List,TBL_Manually_added_tariffs[Activity],0))</f>
        <v>#N/A</v>
      </c>
      <c r="F348" s="181"/>
    </row>
    <row r="349" spans="1:6" hidden="1" x14ac:dyDescent="0.2">
      <c r="A349" s="38" t="e">
        <f>INDEX(Non_Tariff_Cost,MATCH(0,INDEX(COUNTIF($A$205:A348,Non_Tariff_Cost),0,0),0))</f>
        <v>#N/A</v>
      </c>
      <c r="B349" s="288" t="e">
        <f>INDEX(TBL_Manually_added_tariffs[ActivityType],MATCH(Additional_Inv_Proc_Tariff_List,TBL_Manually_added_tariffs[Activity],0))</f>
        <v>#N/A</v>
      </c>
      <c r="C349" s="156"/>
      <c r="D349" s="156"/>
      <c r="E349" s="35" t="e">
        <f>INDEX(TBL_Manually_added_tariffs[Cost (IF INVESTIGATION)],MATCH(Additional_Inv_Proc_Tariff_List,TBL_Manually_added_tariffs[Activity],0))</f>
        <v>#N/A</v>
      </c>
      <c r="F349" s="181"/>
    </row>
    <row r="350" spans="1:6" hidden="1" x14ac:dyDescent="0.2">
      <c r="A350" s="38" t="e">
        <f>INDEX(Non_Tariff_Cost,MATCH(0,INDEX(COUNTIF($A$205:A349,Non_Tariff_Cost),0,0),0))</f>
        <v>#N/A</v>
      </c>
      <c r="B350" s="288" t="e">
        <f>INDEX(TBL_Manually_added_tariffs[ActivityType],MATCH(Additional_Inv_Proc_Tariff_List,TBL_Manually_added_tariffs[Activity],0))</f>
        <v>#N/A</v>
      </c>
      <c r="C350" s="156"/>
      <c r="D350" s="156"/>
      <c r="E350" s="35" t="e">
        <f>INDEX(TBL_Manually_added_tariffs[Cost (IF INVESTIGATION)],MATCH(Additional_Inv_Proc_Tariff_List,TBL_Manually_added_tariffs[Activity],0))</f>
        <v>#N/A</v>
      </c>
      <c r="F350" s="181"/>
    </row>
    <row r="351" spans="1:6" hidden="1" x14ac:dyDescent="0.2">
      <c r="A351" s="38" t="e">
        <f>INDEX(Non_Tariff_Cost,MATCH(0,INDEX(COUNTIF($A$205:A350,Non_Tariff_Cost),0,0),0))</f>
        <v>#N/A</v>
      </c>
      <c r="B351" s="288" t="e">
        <f>INDEX(TBL_Manually_added_tariffs[ActivityType],MATCH(Additional_Inv_Proc_Tariff_List,TBL_Manually_added_tariffs[Activity],0))</f>
        <v>#N/A</v>
      </c>
      <c r="C351" s="156"/>
      <c r="D351" s="156"/>
      <c r="E351" s="35" t="e">
        <f>INDEX(TBL_Manually_added_tariffs[Cost (IF INVESTIGATION)],MATCH(Additional_Inv_Proc_Tariff_List,TBL_Manually_added_tariffs[Activity],0))</f>
        <v>#N/A</v>
      </c>
      <c r="F351" s="181"/>
    </row>
    <row r="352" spans="1:6" hidden="1" x14ac:dyDescent="0.2">
      <c r="A352" s="38" t="e">
        <f>INDEX(Non_Tariff_Cost,MATCH(0,INDEX(COUNTIF($A$205:A351,Non_Tariff_Cost),0,0),0))</f>
        <v>#N/A</v>
      </c>
      <c r="B352" s="288" t="e">
        <f>INDEX(TBL_Manually_added_tariffs[ActivityType],MATCH(Additional_Inv_Proc_Tariff_List,TBL_Manually_added_tariffs[Activity],0))</f>
        <v>#N/A</v>
      </c>
      <c r="C352" s="156"/>
      <c r="D352" s="156"/>
      <c r="E352" s="35" t="e">
        <f>INDEX(TBL_Manually_added_tariffs[Cost (IF INVESTIGATION)],MATCH(Additional_Inv_Proc_Tariff_List,TBL_Manually_added_tariffs[Activity],0))</f>
        <v>#N/A</v>
      </c>
      <c r="F352" s="181"/>
    </row>
    <row r="353" spans="1:6" hidden="1" x14ac:dyDescent="0.2">
      <c r="A353" s="38" t="e">
        <f>INDEX(Non_Tariff_Cost,MATCH(0,INDEX(COUNTIF($A$205:A352,Non_Tariff_Cost),0,0),0))</f>
        <v>#N/A</v>
      </c>
      <c r="B353" s="288" t="e">
        <f>INDEX(TBL_Manually_added_tariffs[ActivityType],MATCH(Additional_Inv_Proc_Tariff_List,TBL_Manually_added_tariffs[Activity],0))</f>
        <v>#N/A</v>
      </c>
      <c r="C353" s="156"/>
      <c r="D353" s="156"/>
      <c r="E353" s="35" t="e">
        <f>INDEX(TBL_Manually_added_tariffs[Cost (IF INVESTIGATION)],MATCH(Additional_Inv_Proc_Tariff_List,TBL_Manually_added_tariffs[Activity],0))</f>
        <v>#N/A</v>
      </c>
      <c r="F353" s="181"/>
    </row>
    <row r="354" spans="1:6" hidden="1" x14ac:dyDescent="0.2">
      <c r="A354" s="38" t="e">
        <f>INDEX(Non_Tariff_Cost,MATCH(0,INDEX(COUNTIF($A$205:A353,Non_Tariff_Cost),0,0),0))</f>
        <v>#N/A</v>
      </c>
      <c r="B354" s="288" t="e">
        <f>INDEX(TBL_Manually_added_tariffs[ActivityType],MATCH(Additional_Inv_Proc_Tariff_List,TBL_Manually_added_tariffs[Activity],0))</f>
        <v>#N/A</v>
      </c>
      <c r="C354" s="156"/>
      <c r="D354" s="156"/>
      <c r="E354" s="35" t="e">
        <f>INDEX(TBL_Manually_added_tariffs[Cost (IF INVESTIGATION)],MATCH(Additional_Inv_Proc_Tariff_List,TBL_Manually_added_tariffs[Activity],0))</f>
        <v>#N/A</v>
      </c>
      <c r="F354" s="181"/>
    </row>
    <row r="355" spans="1:6" hidden="1" x14ac:dyDescent="0.2">
      <c r="A355" s="38" t="e">
        <f>INDEX(Non_Tariff_Cost,MATCH(0,INDEX(COUNTIF($A$205:A354,Non_Tariff_Cost),0,0),0))</f>
        <v>#N/A</v>
      </c>
      <c r="B355" s="288" t="e">
        <f>INDEX(TBL_Manually_added_tariffs[ActivityType],MATCH(Additional_Inv_Proc_Tariff_List,TBL_Manually_added_tariffs[Activity],0))</f>
        <v>#N/A</v>
      </c>
      <c r="C355" s="156"/>
      <c r="D355" s="156"/>
      <c r="E355" s="35" t="e">
        <f>INDEX(TBL_Manually_added_tariffs[Cost (IF INVESTIGATION)],MATCH(Additional_Inv_Proc_Tariff_List,TBL_Manually_added_tariffs[Activity],0))</f>
        <v>#N/A</v>
      </c>
      <c r="F355" s="181"/>
    </row>
    <row r="356" spans="1:6" hidden="1" x14ac:dyDescent="0.2">
      <c r="A356" s="38" t="e">
        <f>INDEX(Non_Tariff_Cost,MATCH(0,INDEX(COUNTIF($A$205:A355,Non_Tariff_Cost),0,0),0))</f>
        <v>#N/A</v>
      </c>
      <c r="B356" s="288" t="e">
        <f>INDEX(TBL_Manually_added_tariffs[ActivityType],MATCH(Additional_Inv_Proc_Tariff_List,TBL_Manually_added_tariffs[Activity],0))</f>
        <v>#N/A</v>
      </c>
      <c r="C356" s="156"/>
      <c r="D356" s="156"/>
      <c r="E356" s="35" t="e">
        <f>INDEX(TBL_Manually_added_tariffs[Cost (IF INVESTIGATION)],MATCH(Additional_Inv_Proc_Tariff_List,TBL_Manually_added_tariffs[Activity],0))</f>
        <v>#N/A</v>
      </c>
      <c r="F356" s="181"/>
    </row>
    <row r="357" spans="1:6" hidden="1" x14ac:dyDescent="0.2">
      <c r="A357" s="38" t="e">
        <f>INDEX(Non_Tariff_Cost,MATCH(0,INDEX(COUNTIF($A$205:A356,Non_Tariff_Cost),0,0),0))</f>
        <v>#N/A</v>
      </c>
      <c r="B357" s="288" t="e">
        <f>INDEX(TBL_Manually_added_tariffs[ActivityType],MATCH(Additional_Inv_Proc_Tariff_List,TBL_Manually_added_tariffs[Activity],0))</f>
        <v>#N/A</v>
      </c>
      <c r="C357" s="156"/>
      <c r="D357" s="156"/>
      <c r="E357" s="35" t="e">
        <f>INDEX(TBL_Manually_added_tariffs[Cost (IF INVESTIGATION)],MATCH(Additional_Inv_Proc_Tariff_List,TBL_Manually_added_tariffs[Activity],0))</f>
        <v>#N/A</v>
      </c>
      <c r="F357" s="181"/>
    </row>
    <row r="358" spans="1:6" hidden="1" x14ac:dyDescent="0.2">
      <c r="A358" s="38" t="e">
        <f>INDEX(Non_Tariff_Cost,MATCH(0,INDEX(COUNTIF($A$205:A357,Non_Tariff_Cost),0,0),0))</f>
        <v>#N/A</v>
      </c>
      <c r="B358" s="288" t="e">
        <f>INDEX(TBL_Manually_added_tariffs[ActivityType],MATCH(Additional_Inv_Proc_Tariff_List,TBL_Manually_added_tariffs[Activity],0))</f>
        <v>#N/A</v>
      </c>
      <c r="C358" s="156"/>
      <c r="D358" s="156"/>
      <c r="E358" s="35" t="e">
        <f>INDEX(TBL_Manually_added_tariffs[Cost (IF INVESTIGATION)],MATCH(Additional_Inv_Proc_Tariff_List,TBL_Manually_added_tariffs[Activity],0))</f>
        <v>#N/A</v>
      </c>
      <c r="F358" s="181"/>
    </row>
    <row r="359" spans="1:6" hidden="1" x14ac:dyDescent="0.2">
      <c r="A359" s="38" t="e">
        <f>INDEX(Non_Tariff_Cost,MATCH(0,INDEX(COUNTIF($A$205:A358,Non_Tariff_Cost),0,0),0))</f>
        <v>#N/A</v>
      </c>
      <c r="B359" s="288" t="e">
        <f>INDEX(TBL_Manually_added_tariffs[ActivityType],MATCH(Additional_Inv_Proc_Tariff_List,TBL_Manually_added_tariffs[Activity],0))</f>
        <v>#N/A</v>
      </c>
      <c r="C359" s="156"/>
      <c r="D359" s="156"/>
      <c r="E359" s="35" t="e">
        <f>INDEX(TBL_Manually_added_tariffs[Cost (IF INVESTIGATION)],MATCH(Additional_Inv_Proc_Tariff_List,TBL_Manually_added_tariffs[Activity],0))</f>
        <v>#N/A</v>
      </c>
      <c r="F359" s="181"/>
    </row>
    <row r="360" spans="1:6" hidden="1" x14ac:dyDescent="0.2">
      <c r="A360" s="38" t="e">
        <f>INDEX(Non_Tariff_Cost,MATCH(0,INDEX(COUNTIF($A$205:A359,Non_Tariff_Cost),0,0),0))</f>
        <v>#N/A</v>
      </c>
      <c r="B360" s="288" t="e">
        <f>INDEX(TBL_Manually_added_tariffs[ActivityType],MATCH(Additional_Inv_Proc_Tariff_List,TBL_Manually_added_tariffs[Activity],0))</f>
        <v>#N/A</v>
      </c>
      <c r="C360" s="156"/>
      <c r="D360" s="156"/>
      <c r="E360" s="35" t="e">
        <f>INDEX(TBL_Manually_added_tariffs[Cost (IF INVESTIGATION)],MATCH(Additional_Inv_Proc_Tariff_List,TBL_Manually_added_tariffs[Activity],0))</f>
        <v>#N/A</v>
      </c>
      <c r="F360" s="181"/>
    </row>
    <row r="361" spans="1:6" hidden="1" x14ac:dyDescent="0.2">
      <c r="A361" s="38" t="e">
        <f>INDEX(Non_Tariff_Cost,MATCH(0,INDEX(COUNTIF($A$205:A360,Non_Tariff_Cost),0,0),0))</f>
        <v>#N/A</v>
      </c>
      <c r="B361" s="288" t="e">
        <f>INDEX(TBL_Manually_added_tariffs[ActivityType],MATCH(Additional_Inv_Proc_Tariff_List,TBL_Manually_added_tariffs[Activity],0))</f>
        <v>#N/A</v>
      </c>
      <c r="C361" s="156"/>
      <c r="D361" s="156"/>
      <c r="E361" s="35" t="e">
        <f>INDEX(TBL_Manually_added_tariffs[Cost (IF INVESTIGATION)],MATCH(Additional_Inv_Proc_Tariff_List,TBL_Manually_added_tariffs[Activity],0))</f>
        <v>#N/A</v>
      </c>
      <c r="F361" s="181"/>
    </row>
    <row r="362" spans="1:6" hidden="1" x14ac:dyDescent="0.2">
      <c r="A362" s="38" t="e">
        <f>INDEX(Non_Tariff_Cost,MATCH(0,INDEX(COUNTIF($A$205:A361,Non_Tariff_Cost),0,0),0))</f>
        <v>#N/A</v>
      </c>
      <c r="B362" s="288" t="e">
        <f>INDEX(TBL_Manually_added_tariffs[ActivityType],MATCH(Additional_Inv_Proc_Tariff_List,TBL_Manually_added_tariffs[Activity],0))</f>
        <v>#N/A</v>
      </c>
      <c r="C362" s="156"/>
      <c r="D362" s="156"/>
      <c r="E362" s="35" t="e">
        <f>INDEX(TBL_Manually_added_tariffs[Cost (IF INVESTIGATION)],MATCH(Additional_Inv_Proc_Tariff_List,TBL_Manually_added_tariffs[Activity],0))</f>
        <v>#N/A</v>
      </c>
      <c r="F362" s="181"/>
    </row>
    <row r="363" spans="1:6" hidden="1" x14ac:dyDescent="0.2">
      <c r="A363" s="38" t="e">
        <f>INDEX(Non_Tariff_Cost,MATCH(0,INDEX(COUNTIF($A$205:A362,Non_Tariff_Cost),0,0),0))</f>
        <v>#N/A</v>
      </c>
      <c r="B363" s="288" t="e">
        <f>INDEX(TBL_Manually_added_tariffs[ActivityType],MATCH(Additional_Inv_Proc_Tariff_List,TBL_Manually_added_tariffs[Activity],0))</f>
        <v>#N/A</v>
      </c>
      <c r="C363" s="156"/>
      <c r="D363" s="156"/>
      <c r="E363" s="35" t="e">
        <f>INDEX(TBL_Manually_added_tariffs[Cost (IF INVESTIGATION)],MATCH(Additional_Inv_Proc_Tariff_List,TBL_Manually_added_tariffs[Activity],0))</f>
        <v>#N/A</v>
      </c>
      <c r="F363" s="181"/>
    </row>
    <row r="364" spans="1:6" hidden="1" x14ac:dyDescent="0.2">
      <c r="A364" s="38" t="e">
        <f>INDEX(Non_Tariff_Cost,MATCH(0,INDEX(COUNTIF($A$205:A363,Non_Tariff_Cost),0,0),0))</f>
        <v>#N/A</v>
      </c>
      <c r="B364" s="288" t="e">
        <f>INDEX(TBL_Manually_added_tariffs[ActivityType],MATCH(Additional_Inv_Proc_Tariff_List,TBL_Manually_added_tariffs[Activity],0))</f>
        <v>#N/A</v>
      </c>
      <c r="C364" s="156"/>
      <c r="D364" s="156"/>
      <c r="E364" s="35" t="e">
        <f>INDEX(TBL_Manually_added_tariffs[Cost (IF INVESTIGATION)],MATCH(Additional_Inv_Proc_Tariff_List,TBL_Manually_added_tariffs[Activity],0))</f>
        <v>#N/A</v>
      </c>
      <c r="F364" s="181"/>
    </row>
    <row r="365" spans="1:6" hidden="1" x14ac:dyDescent="0.2">
      <c r="A365" s="38" t="e">
        <f>INDEX(Non_Tariff_Cost,MATCH(0,INDEX(COUNTIF($A$205:A364,Non_Tariff_Cost),0,0),0))</f>
        <v>#N/A</v>
      </c>
      <c r="B365" s="288" t="e">
        <f>INDEX(TBL_Manually_added_tariffs[ActivityType],MATCH(Additional_Inv_Proc_Tariff_List,TBL_Manually_added_tariffs[Activity],0))</f>
        <v>#N/A</v>
      </c>
      <c r="C365" s="156"/>
      <c r="D365" s="156"/>
      <c r="E365" s="35" t="e">
        <f>INDEX(TBL_Manually_added_tariffs[Cost (IF INVESTIGATION)],MATCH(Additional_Inv_Proc_Tariff_List,TBL_Manually_added_tariffs[Activity],0))</f>
        <v>#N/A</v>
      </c>
      <c r="F365" s="181"/>
    </row>
    <row r="366" spans="1:6" hidden="1" x14ac:dyDescent="0.2">
      <c r="A366" s="38" t="e">
        <f>INDEX(Non_Tariff_Cost,MATCH(0,INDEX(COUNTIF($A$205:A365,Non_Tariff_Cost),0,0),0))</f>
        <v>#N/A</v>
      </c>
      <c r="B366" s="288" t="e">
        <f>INDEX(TBL_Manually_added_tariffs[ActivityType],MATCH(Additional_Inv_Proc_Tariff_List,TBL_Manually_added_tariffs[Activity],0))</f>
        <v>#N/A</v>
      </c>
      <c r="C366" s="156"/>
      <c r="D366" s="156"/>
      <c r="E366" s="35" t="e">
        <f>INDEX(TBL_Manually_added_tariffs[Cost (IF INVESTIGATION)],MATCH(Additional_Inv_Proc_Tariff_List,TBL_Manually_added_tariffs[Activity],0))</f>
        <v>#N/A</v>
      </c>
      <c r="F366" s="181"/>
    </row>
    <row r="367" spans="1:6" hidden="1" x14ac:dyDescent="0.2">
      <c r="A367" s="38" t="e">
        <f>INDEX(Non_Tariff_Cost,MATCH(0,INDEX(COUNTIF($A$205:A366,Non_Tariff_Cost),0,0),0))</f>
        <v>#N/A</v>
      </c>
      <c r="B367" s="288" t="e">
        <f>INDEX(TBL_Manually_added_tariffs[ActivityType],MATCH(Additional_Inv_Proc_Tariff_List,TBL_Manually_added_tariffs[Activity],0))</f>
        <v>#N/A</v>
      </c>
      <c r="C367" s="156"/>
      <c r="D367" s="156"/>
      <c r="E367" s="35" t="e">
        <f>INDEX(TBL_Manually_added_tariffs[Cost (IF INVESTIGATION)],MATCH(Additional_Inv_Proc_Tariff_List,TBL_Manually_added_tariffs[Activity],0))</f>
        <v>#N/A</v>
      </c>
      <c r="F367" s="181"/>
    </row>
    <row r="368" spans="1:6" hidden="1" x14ac:dyDescent="0.2">
      <c r="A368" s="38" t="e">
        <f>INDEX(Non_Tariff_Cost,MATCH(0,INDEX(COUNTIF($A$205:A367,Non_Tariff_Cost),0,0),0))</f>
        <v>#N/A</v>
      </c>
      <c r="B368" s="288" t="e">
        <f>INDEX(TBL_Manually_added_tariffs[ActivityType],MATCH(Additional_Inv_Proc_Tariff_List,TBL_Manually_added_tariffs[Activity],0))</f>
        <v>#N/A</v>
      </c>
      <c r="C368" s="156"/>
      <c r="D368" s="156"/>
      <c r="E368" s="35" t="e">
        <f>INDEX(TBL_Manually_added_tariffs[Cost (IF INVESTIGATION)],MATCH(Additional_Inv_Proc_Tariff_List,TBL_Manually_added_tariffs[Activity],0))</f>
        <v>#N/A</v>
      </c>
      <c r="F368" s="181"/>
    </row>
    <row r="369" spans="1:6" hidden="1" x14ac:dyDescent="0.2">
      <c r="A369" s="38" t="e">
        <f>INDEX(Non_Tariff_Cost,MATCH(0,INDEX(COUNTIF($A$205:A368,Non_Tariff_Cost),0,0),0))</f>
        <v>#N/A</v>
      </c>
      <c r="B369" s="288" t="e">
        <f>INDEX(TBL_Manually_added_tariffs[ActivityType],MATCH(Additional_Inv_Proc_Tariff_List,TBL_Manually_added_tariffs[Activity],0))</f>
        <v>#N/A</v>
      </c>
      <c r="C369" s="156"/>
      <c r="D369" s="156"/>
      <c r="E369" s="35" t="e">
        <f>INDEX(TBL_Manually_added_tariffs[Cost (IF INVESTIGATION)],MATCH(Additional_Inv_Proc_Tariff_List,TBL_Manually_added_tariffs[Activity],0))</f>
        <v>#N/A</v>
      </c>
      <c r="F369" s="181"/>
    </row>
    <row r="370" spans="1:6" hidden="1" x14ac:dyDescent="0.2">
      <c r="A370" s="38" t="e">
        <f>INDEX(Non_Tariff_Cost,MATCH(0,INDEX(COUNTIF($A$205:A369,Non_Tariff_Cost),0,0),0))</f>
        <v>#N/A</v>
      </c>
      <c r="B370" s="288" t="e">
        <f>INDEX(TBL_Manually_added_tariffs[ActivityType],MATCH(Additional_Inv_Proc_Tariff_List,TBL_Manually_added_tariffs[Activity],0))</f>
        <v>#N/A</v>
      </c>
      <c r="C370" s="156"/>
      <c r="D370" s="156"/>
      <c r="E370" s="35" t="e">
        <f>INDEX(TBL_Manually_added_tariffs[Cost (IF INVESTIGATION)],MATCH(Additional_Inv_Proc_Tariff_List,TBL_Manually_added_tariffs[Activity],0))</f>
        <v>#N/A</v>
      </c>
      <c r="F370" s="181"/>
    </row>
    <row r="371" spans="1:6" hidden="1" x14ac:dyDescent="0.2">
      <c r="A371" s="38" t="e">
        <f>INDEX(Non_Tariff_Cost,MATCH(0,INDEX(COUNTIF($A$205:A370,Non_Tariff_Cost),0,0),0))</f>
        <v>#N/A</v>
      </c>
      <c r="B371" s="288" t="e">
        <f>INDEX(TBL_Manually_added_tariffs[ActivityType],MATCH(Additional_Inv_Proc_Tariff_List,TBL_Manually_added_tariffs[Activity],0))</f>
        <v>#N/A</v>
      </c>
      <c r="C371" s="156"/>
      <c r="D371" s="156"/>
      <c r="E371" s="35" t="e">
        <f>INDEX(TBL_Manually_added_tariffs[Cost (IF INVESTIGATION)],MATCH(Additional_Inv_Proc_Tariff_List,TBL_Manually_added_tariffs[Activity],0))</f>
        <v>#N/A</v>
      </c>
      <c r="F371" s="181"/>
    </row>
    <row r="372" spans="1:6" hidden="1" x14ac:dyDescent="0.2">
      <c r="A372" s="38" t="e">
        <f>INDEX(Non_Tariff_Cost,MATCH(0,INDEX(COUNTIF($A$205:A371,Non_Tariff_Cost),0,0),0))</f>
        <v>#N/A</v>
      </c>
      <c r="B372" s="288" t="e">
        <f>INDEX(TBL_Manually_added_tariffs[ActivityType],MATCH(Additional_Inv_Proc_Tariff_List,TBL_Manually_added_tariffs[Activity],0))</f>
        <v>#N/A</v>
      </c>
      <c r="C372" s="156"/>
      <c r="D372" s="156"/>
      <c r="E372" s="35" t="e">
        <f>INDEX(TBL_Manually_added_tariffs[Cost (IF INVESTIGATION)],MATCH(Additional_Inv_Proc_Tariff_List,TBL_Manually_added_tariffs[Activity],0))</f>
        <v>#N/A</v>
      </c>
      <c r="F372" s="181"/>
    </row>
    <row r="373" spans="1:6" hidden="1" x14ac:dyDescent="0.2">
      <c r="A373" s="38" t="e">
        <f>INDEX(Non_Tariff_Cost,MATCH(0,INDEX(COUNTIF($A$205:A372,Non_Tariff_Cost),0,0),0))</f>
        <v>#N/A</v>
      </c>
      <c r="B373" s="288" t="e">
        <f>INDEX(TBL_Manually_added_tariffs[ActivityType],MATCH(Additional_Inv_Proc_Tariff_List,TBL_Manually_added_tariffs[Activity],0))</f>
        <v>#N/A</v>
      </c>
      <c r="C373" s="156"/>
      <c r="D373" s="156"/>
      <c r="E373" s="35" t="e">
        <f>INDEX(TBL_Manually_added_tariffs[Cost (IF INVESTIGATION)],MATCH(Additional_Inv_Proc_Tariff_List,TBL_Manually_added_tariffs[Activity],0))</f>
        <v>#N/A</v>
      </c>
      <c r="F373" s="181"/>
    </row>
    <row r="374" spans="1:6" hidden="1" x14ac:dyDescent="0.2">
      <c r="A374" s="38" t="e">
        <f>INDEX(Non_Tariff_Cost,MATCH(0,INDEX(COUNTIF($A$205:A373,Non_Tariff_Cost),0,0),0))</f>
        <v>#N/A</v>
      </c>
      <c r="B374" s="288" t="e">
        <f>INDEX(TBL_Manually_added_tariffs[ActivityType],MATCH(Additional_Inv_Proc_Tariff_List,TBL_Manually_added_tariffs[Activity],0))</f>
        <v>#N/A</v>
      </c>
      <c r="C374" s="156"/>
      <c r="D374" s="156"/>
      <c r="E374" s="35" t="e">
        <f>INDEX(TBL_Manually_added_tariffs[Cost (IF INVESTIGATION)],MATCH(Additional_Inv_Proc_Tariff_List,TBL_Manually_added_tariffs[Activity],0))</f>
        <v>#N/A</v>
      </c>
      <c r="F374" s="181"/>
    </row>
    <row r="375" spans="1:6" hidden="1" x14ac:dyDescent="0.2">
      <c r="A375" s="38" t="e">
        <f>INDEX(Non_Tariff_Cost,MATCH(0,INDEX(COUNTIF($A$205:A374,Non_Tariff_Cost),0,0),0))</f>
        <v>#N/A</v>
      </c>
      <c r="B375" s="288" t="e">
        <f>INDEX(TBL_Manually_added_tariffs[ActivityType],MATCH(Additional_Inv_Proc_Tariff_List,TBL_Manually_added_tariffs[Activity],0))</f>
        <v>#N/A</v>
      </c>
      <c r="C375" s="156"/>
      <c r="D375" s="156"/>
      <c r="E375" s="35" t="e">
        <f>INDEX(TBL_Manually_added_tariffs[Cost (IF INVESTIGATION)],MATCH(Additional_Inv_Proc_Tariff_List,TBL_Manually_added_tariffs[Activity],0))</f>
        <v>#N/A</v>
      </c>
      <c r="F375" s="181"/>
    </row>
    <row r="376" spans="1:6" hidden="1" x14ac:dyDescent="0.2">
      <c r="A376" s="38" t="e">
        <f>INDEX(Non_Tariff_Cost,MATCH(0,INDEX(COUNTIF($A$205:A375,Non_Tariff_Cost),0,0),0))</f>
        <v>#N/A</v>
      </c>
      <c r="B376" s="288" t="e">
        <f>INDEX(TBL_Manually_added_tariffs[ActivityType],MATCH(Additional_Inv_Proc_Tariff_List,TBL_Manually_added_tariffs[Activity],0))</f>
        <v>#N/A</v>
      </c>
      <c r="C376" s="156"/>
      <c r="D376" s="156"/>
      <c r="E376" s="35" t="e">
        <f>INDEX(TBL_Manually_added_tariffs[Cost (IF INVESTIGATION)],MATCH(Additional_Inv_Proc_Tariff_List,TBL_Manually_added_tariffs[Activity],0))</f>
        <v>#N/A</v>
      </c>
      <c r="F376" s="181"/>
    </row>
    <row r="377" spans="1:6" hidden="1" x14ac:dyDescent="0.2">
      <c r="A377" s="38" t="e">
        <f>INDEX(Non_Tariff_Cost,MATCH(0,INDEX(COUNTIF($A$205:A376,Non_Tariff_Cost),0,0),0))</f>
        <v>#N/A</v>
      </c>
      <c r="B377" s="288" t="e">
        <f>INDEX(TBL_Manually_added_tariffs[ActivityType],MATCH(Additional_Inv_Proc_Tariff_List,TBL_Manually_added_tariffs[Activity],0))</f>
        <v>#N/A</v>
      </c>
      <c r="C377" s="156"/>
      <c r="D377" s="156"/>
      <c r="E377" s="35" t="e">
        <f>INDEX(TBL_Manually_added_tariffs[Cost (IF INVESTIGATION)],MATCH(Additional_Inv_Proc_Tariff_List,TBL_Manually_added_tariffs[Activity],0))</f>
        <v>#N/A</v>
      </c>
      <c r="F377" s="181"/>
    </row>
    <row r="378" spans="1:6" hidden="1" x14ac:dyDescent="0.2">
      <c r="A378" s="38" t="e">
        <f>INDEX(Non_Tariff_Cost,MATCH(0,INDEX(COUNTIF($A$205:A377,Non_Tariff_Cost),0,0),0))</f>
        <v>#N/A</v>
      </c>
      <c r="B378" s="288" t="e">
        <f>INDEX(TBL_Manually_added_tariffs[ActivityType],MATCH(Additional_Inv_Proc_Tariff_List,TBL_Manually_added_tariffs[Activity],0))</f>
        <v>#N/A</v>
      </c>
      <c r="C378" s="156"/>
      <c r="D378" s="156"/>
      <c r="E378" s="35" t="e">
        <f>INDEX(TBL_Manually_added_tariffs[Cost (IF INVESTIGATION)],MATCH(Additional_Inv_Proc_Tariff_List,TBL_Manually_added_tariffs[Activity],0))</f>
        <v>#N/A</v>
      </c>
      <c r="F378" s="181"/>
    </row>
    <row r="379" spans="1:6" hidden="1" x14ac:dyDescent="0.2">
      <c r="A379" s="38" t="e">
        <f>INDEX(Non_Tariff_Cost,MATCH(0,INDEX(COUNTIF($A$205:A378,Non_Tariff_Cost),0,0),0))</f>
        <v>#N/A</v>
      </c>
      <c r="B379" s="288" t="e">
        <f>INDEX(TBL_Manually_added_tariffs[ActivityType],MATCH(Additional_Inv_Proc_Tariff_List,TBL_Manually_added_tariffs[Activity],0))</f>
        <v>#N/A</v>
      </c>
      <c r="C379" s="156"/>
      <c r="D379" s="156"/>
      <c r="E379" s="35" t="e">
        <f>INDEX(TBL_Manually_added_tariffs[Cost (IF INVESTIGATION)],MATCH(Additional_Inv_Proc_Tariff_List,TBL_Manually_added_tariffs[Activity],0))</f>
        <v>#N/A</v>
      </c>
      <c r="F379" s="181"/>
    </row>
    <row r="380" spans="1:6" hidden="1" x14ac:dyDescent="0.2">
      <c r="A380" s="38" t="e">
        <f>INDEX(Non_Tariff_Cost,MATCH(0,INDEX(COUNTIF($A$205:A379,Non_Tariff_Cost),0,0),0))</f>
        <v>#N/A</v>
      </c>
      <c r="B380" s="288" t="e">
        <f>INDEX(TBL_Manually_added_tariffs[ActivityType],MATCH(Additional_Inv_Proc_Tariff_List,TBL_Manually_added_tariffs[Activity],0))</f>
        <v>#N/A</v>
      </c>
      <c r="C380" s="156"/>
      <c r="D380" s="156"/>
      <c r="E380" s="35" t="e">
        <f>INDEX(TBL_Manually_added_tariffs[Cost (IF INVESTIGATION)],MATCH(Additional_Inv_Proc_Tariff_List,TBL_Manually_added_tariffs[Activity],0))</f>
        <v>#N/A</v>
      </c>
      <c r="F380" s="181"/>
    </row>
    <row r="381" spans="1:6" hidden="1" x14ac:dyDescent="0.2">
      <c r="A381" s="38" t="e">
        <f>INDEX(Non_Tariff_Cost,MATCH(0,INDEX(COUNTIF($A$205:A380,Non_Tariff_Cost),0,0),0))</f>
        <v>#N/A</v>
      </c>
      <c r="B381" s="288" t="e">
        <f>INDEX(TBL_Manually_added_tariffs[ActivityType],MATCH(Additional_Inv_Proc_Tariff_List,TBL_Manually_added_tariffs[Activity],0))</f>
        <v>#N/A</v>
      </c>
      <c r="C381" s="156"/>
      <c r="D381" s="156"/>
      <c r="E381" s="35" t="e">
        <f>INDEX(TBL_Manually_added_tariffs[Cost (IF INVESTIGATION)],MATCH(Additional_Inv_Proc_Tariff_List,TBL_Manually_added_tariffs[Activity],0))</f>
        <v>#N/A</v>
      </c>
      <c r="F381" s="181"/>
    </row>
    <row r="382" spans="1:6" hidden="1" x14ac:dyDescent="0.2">
      <c r="A382" s="38" t="e">
        <f>INDEX(Non_Tariff_Cost,MATCH(0,INDEX(COUNTIF($A$205:A381,Non_Tariff_Cost),0,0),0))</f>
        <v>#N/A</v>
      </c>
      <c r="B382" s="288" t="e">
        <f>INDEX(TBL_Manually_added_tariffs[ActivityType],MATCH(Additional_Inv_Proc_Tariff_List,TBL_Manually_added_tariffs[Activity],0))</f>
        <v>#N/A</v>
      </c>
      <c r="C382" s="156"/>
      <c r="D382" s="156"/>
      <c r="E382" s="35" t="e">
        <f>INDEX(TBL_Manually_added_tariffs[Cost (IF INVESTIGATION)],MATCH(Additional_Inv_Proc_Tariff_List,TBL_Manually_added_tariffs[Activity],0))</f>
        <v>#N/A</v>
      </c>
      <c r="F382" s="181"/>
    </row>
    <row r="383" spans="1:6" hidden="1" x14ac:dyDescent="0.2">
      <c r="A383" s="38" t="e">
        <f>INDEX(Non_Tariff_Cost,MATCH(0,INDEX(COUNTIF($A$205:A382,Non_Tariff_Cost),0,0),0))</f>
        <v>#N/A</v>
      </c>
      <c r="B383" s="288" t="e">
        <f>INDEX(TBL_Manually_added_tariffs[ActivityType],MATCH(Additional_Inv_Proc_Tariff_List,TBL_Manually_added_tariffs[Activity],0))</f>
        <v>#N/A</v>
      </c>
      <c r="C383" s="156"/>
      <c r="D383" s="156"/>
      <c r="E383" s="35" t="e">
        <f>INDEX(TBL_Manually_added_tariffs[Cost (IF INVESTIGATION)],MATCH(Additional_Inv_Proc_Tariff_List,TBL_Manually_added_tariffs[Activity],0))</f>
        <v>#N/A</v>
      </c>
      <c r="F383" s="181"/>
    </row>
    <row r="384" spans="1:6" hidden="1" x14ac:dyDescent="0.2">
      <c r="A384" s="38" t="e">
        <f>INDEX(Non_Tariff_Cost,MATCH(0,INDEX(COUNTIF($A$205:A383,Non_Tariff_Cost),0,0),0))</f>
        <v>#N/A</v>
      </c>
      <c r="B384" s="288" t="e">
        <f>INDEX(TBL_Manually_added_tariffs[ActivityType],MATCH(Additional_Inv_Proc_Tariff_List,TBL_Manually_added_tariffs[Activity],0))</f>
        <v>#N/A</v>
      </c>
      <c r="C384" s="156"/>
      <c r="D384" s="156"/>
      <c r="E384" s="35" t="e">
        <f>INDEX(TBL_Manually_added_tariffs[Cost (IF INVESTIGATION)],MATCH(Additional_Inv_Proc_Tariff_List,TBL_Manually_added_tariffs[Activity],0))</f>
        <v>#N/A</v>
      </c>
      <c r="F384" s="181"/>
    </row>
    <row r="385" spans="1:6" hidden="1" x14ac:dyDescent="0.2">
      <c r="A385" s="38" t="e">
        <f>INDEX(Non_Tariff_Cost,MATCH(0,INDEX(COUNTIF($A$205:A384,Non_Tariff_Cost),0,0),0))</f>
        <v>#N/A</v>
      </c>
      <c r="B385" s="288" t="e">
        <f>INDEX(TBL_Manually_added_tariffs[ActivityType],MATCH(Additional_Inv_Proc_Tariff_List,TBL_Manually_added_tariffs[Activity],0))</f>
        <v>#N/A</v>
      </c>
      <c r="C385" s="156"/>
      <c r="D385" s="156"/>
      <c r="E385" s="35" t="e">
        <f>INDEX(TBL_Manually_added_tariffs[Cost (IF INVESTIGATION)],MATCH(Additional_Inv_Proc_Tariff_List,TBL_Manually_added_tariffs[Activity],0))</f>
        <v>#N/A</v>
      </c>
      <c r="F385" s="181"/>
    </row>
    <row r="386" spans="1:6" hidden="1" x14ac:dyDescent="0.2">
      <c r="A386" s="38" t="e">
        <f>INDEX(Non_Tariff_Cost,MATCH(0,INDEX(COUNTIF($A$205:A385,Non_Tariff_Cost),0,0),0))</f>
        <v>#N/A</v>
      </c>
      <c r="B386" s="288" t="e">
        <f>INDEX(TBL_Manually_added_tariffs[ActivityType],MATCH(Additional_Inv_Proc_Tariff_List,TBL_Manually_added_tariffs[Activity],0))</f>
        <v>#N/A</v>
      </c>
      <c r="C386" s="156"/>
      <c r="D386" s="156"/>
      <c r="E386" s="35" t="e">
        <f>INDEX(TBL_Manually_added_tariffs[Cost (IF INVESTIGATION)],MATCH(Additional_Inv_Proc_Tariff_List,TBL_Manually_added_tariffs[Activity],0))</f>
        <v>#N/A</v>
      </c>
      <c r="F386" s="181"/>
    </row>
    <row r="387" spans="1:6" hidden="1" x14ac:dyDescent="0.2">
      <c r="A387" s="38" t="e">
        <f>INDEX(Non_Tariff_Cost,MATCH(0,INDEX(COUNTIF($A$205:A386,Non_Tariff_Cost),0,0),0))</f>
        <v>#N/A</v>
      </c>
      <c r="B387" s="288" t="e">
        <f>INDEX(TBL_Manually_added_tariffs[ActivityType],MATCH(Additional_Inv_Proc_Tariff_List,TBL_Manually_added_tariffs[Activity],0))</f>
        <v>#N/A</v>
      </c>
      <c r="C387" s="156"/>
      <c r="D387" s="156"/>
      <c r="E387" s="35" t="e">
        <f>INDEX(TBL_Manually_added_tariffs[Cost (IF INVESTIGATION)],MATCH(Additional_Inv_Proc_Tariff_List,TBL_Manually_added_tariffs[Activity],0))</f>
        <v>#N/A</v>
      </c>
      <c r="F387" s="181"/>
    </row>
    <row r="388" spans="1:6" hidden="1" x14ac:dyDescent="0.2">
      <c r="A388" s="38" t="e">
        <f>INDEX(Non_Tariff_Cost,MATCH(0,INDEX(COUNTIF($A$205:A387,Non_Tariff_Cost),0,0),0))</f>
        <v>#N/A</v>
      </c>
      <c r="B388" s="288" t="e">
        <f>INDEX(TBL_Manually_added_tariffs[ActivityType],MATCH(Additional_Inv_Proc_Tariff_List,TBL_Manually_added_tariffs[Activity],0))</f>
        <v>#N/A</v>
      </c>
      <c r="C388" s="156"/>
      <c r="D388" s="156"/>
      <c r="E388" s="35" t="e">
        <f>INDEX(TBL_Manually_added_tariffs[Cost (IF INVESTIGATION)],MATCH(Additional_Inv_Proc_Tariff_List,TBL_Manually_added_tariffs[Activity],0))</f>
        <v>#N/A</v>
      </c>
      <c r="F388" s="181"/>
    </row>
    <row r="389" spans="1:6" hidden="1" x14ac:dyDescent="0.2">
      <c r="A389" s="38" t="e">
        <f>INDEX(Non_Tariff_Cost,MATCH(0,INDEX(COUNTIF($A$205:A388,Non_Tariff_Cost),0,0),0))</f>
        <v>#N/A</v>
      </c>
      <c r="B389" s="288" t="e">
        <f>INDEX(TBL_Manually_added_tariffs[ActivityType],MATCH(Additional_Inv_Proc_Tariff_List,TBL_Manually_added_tariffs[Activity],0))</f>
        <v>#N/A</v>
      </c>
      <c r="C389" s="156"/>
      <c r="D389" s="156"/>
      <c r="E389" s="35" t="e">
        <f>INDEX(TBL_Manually_added_tariffs[Cost (IF INVESTIGATION)],MATCH(Additional_Inv_Proc_Tariff_List,TBL_Manually_added_tariffs[Activity],0))</f>
        <v>#N/A</v>
      </c>
      <c r="F389" s="181"/>
    </row>
    <row r="390" spans="1:6" hidden="1" x14ac:dyDescent="0.2">
      <c r="A390" s="38" t="e">
        <f>INDEX(Non_Tariff_Cost,MATCH(0,INDEX(COUNTIF($A$205:A389,Non_Tariff_Cost),0,0),0))</f>
        <v>#N/A</v>
      </c>
      <c r="B390" s="288" t="e">
        <f>INDEX(TBL_Manually_added_tariffs[ActivityType],MATCH(Additional_Inv_Proc_Tariff_List,TBL_Manually_added_tariffs[Activity],0))</f>
        <v>#N/A</v>
      </c>
      <c r="C390" s="156"/>
      <c r="D390" s="156"/>
      <c r="E390" s="35" t="e">
        <f>INDEX(TBL_Manually_added_tariffs[Cost (IF INVESTIGATION)],MATCH(Additional_Inv_Proc_Tariff_List,TBL_Manually_added_tariffs[Activity],0))</f>
        <v>#N/A</v>
      </c>
      <c r="F390" s="181"/>
    </row>
    <row r="391" spans="1:6" hidden="1" x14ac:dyDescent="0.2">
      <c r="A391" s="38" t="e">
        <f>INDEX(Non_Tariff_Cost,MATCH(0,INDEX(COUNTIF($A$205:A390,Non_Tariff_Cost),0,0),0))</f>
        <v>#N/A</v>
      </c>
      <c r="B391" s="288" t="e">
        <f>INDEX(TBL_Manually_added_tariffs[ActivityType],MATCH(Additional_Inv_Proc_Tariff_List,TBL_Manually_added_tariffs[Activity],0))</f>
        <v>#N/A</v>
      </c>
      <c r="C391" s="156"/>
      <c r="D391" s="156"/>
      <c r="E391" s="35" t="e">
        <f>INDEX(TBL_Manually_added_tariffs[Cost (IF INVESTIGATION)],MATCH(Additional_Inv_Proc_Tariff_List,TBL_Manually_added_tariffs[Activity],0))</f>
        <v>#N/A</v>
      </c>
      <c r="F391" s="181"/>
    </row>
    <row r="392" spans="1:6" hidden="1" x14ac:dyDescent="0.2">
      <c r="A392" s="38" t="e">
        <f>INDEX(Non_Tariff_Cost,MATCH(0,INDEX(COUNTIF($A$205:A391,Non_Tariff_Cost),0,0),0))</f>
        <v>#N/A</v>
      </c>
      <c r="B392" s="288" t="e">
        <f>INDEX(TBL_Manually_added_tariffs[ActivityType],MATCH(Additional_Inv_Proc_Tariff_List,TBL_Manually_added_tariffs[Activity],0))</f>
        <v>#N/A</v>
      </c>
      <c r="C392" s="156"/>
      <c r="D392" s="156"/>
      <c r="E392" s="35" t="e">
        <f>INDEX(TBL_Manually_added_tariffs[Cost (IF INVESTIGATION)],MATCH(Additional_Inv_Proc_Tariff_List,TBL_Manually_added_tariffs[Activity],0))</f>
        <v>#N/A</v>
      </c>
      <c r="F392" s="181"/>
    </row>
    <row r="393" spans="1:6" hidden="1" x14ac:dyDescent="0.2">
      <c r="A393" s="38" t="e">
        <f>INDEX(Non_Tariff_Cost,MATCH(0,INDEX(COUNTIF($A$205:A392,Non_Tariff_Cost),0,0),0))</f>
        <v>#N/A</v>
      </c>
      <c r="B393" s="288" t="e">
        <f>INDEX(TBL_Manually_added_tariffs[ActivityType],MATCH(Additional_Inv_Proc_Tariff_List,TBL_Manually_added_tariffs[Activity],0))</f>
        <v>#N/A</v>
      </c>
      <c r="C393" s="156"/>
      <c r="D393" s="156"/>
      <c r="E393" s="35" t="e">
        <f>INDEX(TBL_Manually_added_tariffs[Cost (IF INVESTIGATION)],MATCH(Additional_Inv_Proc_Tariff_List,TBL_Manually_added_tariffs[Activity],0))</f>
        <v>#N/A</v>
      </c>
      <c r="F393" s="181"/>
    </row>
    <row r="394" spans="1:6" hidden="1" x14ac:dyDescent="0.2">
      <c r="A394" s="38" t="e">
        <f>INDEX(Non_Tariff_Cost,MATCH(0,INDEX(COUNTIF($A$205:A393,Non_Tariff_Cost),0,0),0))</f>
        <v>#N/A</v>
      </c>
      <c r="B394" s="288" t="e">
        <f>INDEX(TBL_Manually_added_tariffs[ActivityType],MATCH(Additional_Inv_Proc_Tariff_List,TBL_Manually_added_tariffs[Activity],0))</f>
        <v>#N/A</v>
      </c>
      <c r="C394" s="156"/>
      <c r="D394" s="156"/>
      <c r="E394" s="35" t="e">
        <f>INDEX(TBL_Manually_added_tariffs[Cost (IF INVESTIGATION)],MATCH(Additional_Inv_Proc_Tariff_List,TBL_Manually_added_tariffs[Activity],0))</f>
        <v>#N/A</v>
      </c>
      <c r="F394" s="181"/>
    </row>
    <row r="395" spans="1:6" hidden="1" x14ac:dyDescent="0.2">
      <c r="A395" s="38" t="e">
        <f>INDEX(Non_Tariff_Cost,MATCH(0,INDEX(COUNTIF($A$205:A394,Non_Tariff_Cost),0,0),0))</f>
        <v>#N/A</v>
      </c>
      <c r="B395" s="288" t="e">
        <f>INDEX(TBL_Manually_added_tariffs[ActivityType],MATCH(Additional_Inv_Proc_Tariff_List,TBL_Manually_added_tariffs[Activity],0))</f>
        <v>#N/A</v>
      </c>
      <c r="C395" s="156"/>
      <c r="D395" s="156"/>
      <c r="E395" s="35" t="e">
        <f>INDEX(TBL_Manually_added_tariffs[Cost (IF INVESTIGATION)],MATCH(Additional_Inv_Proc_Tariff_List,TBL_Manually_added_tariffs[Activity],0))</f>
        <v>#N/A</v>
      </c>
      <c r="F395" s="181"/>
    </row>
    <row r="396" spans="1:6" hidden="1" x14ac:dyDescent="0.2">
      <c r="A396" s="38" t="e">
        <f>INDEX(Non_Tariff_Cost,MATCH(0,INDEX(COUNTIF($A$205:A395,Non_Tariff_Cost),0,0),0))</f>
        <v>#N/A</v>
      </c>
      <c r="B396" s="288" t="e">
        <f>INDEX(TBL_Manually_added_tariffs[ActivityType],MATCH(Additional_Inv_Proc_Tariff_List,TBL_Manually_added_tariffs[Activity],0))</f>
        <v>#N/A</v>
      </c>
      <c r="C396" s="156"/>
      <c r="D396" s="156"/>
      <c r="E396" s="35" t="e">
        <f>INDEX(TBL_Manually_added_tariffs[Cost (IF INVESTIGATION)],MATCH(Additional_Inv_Proc_Tariff_List,TBL_Manually_added_tariffs[Activity],0))</f>
        <v>#N/A</v>
      </c>
      <c r="F396" s="181"/>
    </row>
    <row r="397" spans="1:6" hidden="1" x14ac:dyDescent="0.2">
      <c r="A397" s="38" t="e">
        <f>INDEX(Non_Tariff_Cost,MATCH(0,INDEX(COUNTIF($A$205:A396,Non_Tariff_Cost),0,0),0))</f>
        <v>#N/A</v>
      </c>
      <c r="B397" s="288" t="e">
        <f>INDEX(TBL_Manually_added_tariffs[ActivityType],MATCH(Additional_Inv_Proc_Tariff_List,TBL_Manually_added_tariffs[Activity],0))</f>
        <v>#N/A</v>
      </c>
      <c r="C397" s="156"/>
      <c r="D397" s="156"/>
      <c r="E397" s="35" t="e">
        <f>INDEX(TBL_Manually_added_tariffs[Cost (IF INVESTIGATION)],MATCH(Additional_Inv_Proc_Tariff_List,TBL_Manually_added_tariffs[Activity],0))</f>
        <v>#N/A</v>
      </c>
      <c r="F397" s="181"/>
    </row>
    <row r="398" spans="1:6" hidden="1" x14ac:dyDescent="0.2">
      <c r="A398" s="38" t="e">
        <f>INDEX(Non_Tariff_Cost,MATCH(0,INDEX(COUNTIF($A$205:A397,Non_Tariff_Cost),0,0),0))</f>
        <v>#N/A</v>
      </c>
      <c r="B398" s="288" t="e">
        <f>INDEX(TBL_Manually_added_tariffs[ActivityType],MATCH(Additional_Inv_Proc_Tariff_List,TBL_Manually_added_tariffs[Activity],0))</f>
        <v>#N/A</v>
      </c>
      <c r="C398" s="156"/>
      <c r="D398" s="156"/>
      <c r="E398" s="35" t="e">
        <f>INDEX(TBL_Manually_added_tariffs[Cost (IF INVESTIGATION)],MATCH(Additional_Inv_Proc_Tariff_List,TBL_Manually_added_tariffs[Activity],0))</f>
        <v>#N/A</v>
      </c>
      <c r="F398" s="181"/>
    </row>
    <row r="399" spans="1:6" hidden="1" x14ac:dyDescent="0.2">
      <c r="A399" s="38" t="e">
        <f>INDEX(Non_Tariff_Cost,MATCH(0,INDEX(COUNTIF($A$205:A398,Non_Tariff_Cost),0,0),0))</f>
        <v>#N/A</v>
      </c>
      <c r="B399" s="288" t="e">
        <f>INDEX(TBL_Manually_added_tariffs[ActivityType],MATCH(Additional_Inv_Proc_Tariff_List,TBL_Manually_added_tariffs[Activity],0))</f>
        <v>#N/A</v>
      </c>
      <c r="C399" s="156"/>
      <c r="D399" s="156"/>
      <c r="E399" s="35" t="e">
        <f>INDEX(TBL_Manually_added_tariffs[Cost (IF INVESTIGATION)],MATCH(Additional_Inv_Proc_Tariff_List,TBL_Manually_added_tariffs[Activity],0))</f>
        <v>#N/A</v>
      </c>
      <c r="F399" s="181"/>
    </row>
    <row r="400" spans="1:6" hidden="1" x14ac:dyDescent="0.2">
      <c r="A400" s="38" t="e">
        <f>INDEX(Non_Tariff_Cost,MATCH(0,INDEX(COUNTIF($A$205:A399,Non_Tariff_Cost),0,0),0))</f>
        <v>#N/A</v>
      </c>
      <c r="B400" s="288" t="e">
        <f>INDEX(TBL_Manually_added_tariffs[ActivityType],MATCH(Additional_Inv_Proc_Tariff_List,TBL_Manually_added_tariffs[Activity],0))</f>
        <v>#N/A</v>
      </c>
      <c r="C400" s="156"/>
      <c r="D400" s="156"/>
      <c r="E400" s="35" t="e">
        <f>INDEX(TBL_Manually_added_tariffs[Cost (IF INVESTIGATION)],MATCH(Additional_Inv_Proc_Tariff_List,TBL_Manually_added_tariffs[Activity],0))</f>
        <v>#N/A</v>
      </c>
      <c r="F400" s="181"/>
    </row>
    <row r="401" spans="1:6" hidden="1" x14ac:dyDescent="0.2">
      <c r="A401" s="38" t="e">
        <f>INDEX(Non_Tariff_Cost,MATCH(0,INDEX(COUNTIF($A$205:A400,Non_Tariff_Cost),0,0),0))</f>
        <v>#N/A</v>
      </c>
      <c r="B401" s="288" t="e">
        <f>INDEX(TBL_Manually_added_tariffs[ActivityType],MATCH(Additional_Inv_Proc_Tariff_List,TBL_Manually_added_tariffs[Activity],0))</f>
        <v>#N/A</v>
      </c>
      <c r="C401" s="156"/>
      <c r="D401" s="156"/>
      <c r="E401" s="35" t="e">
        <f>INDEX(TBL_Manually_added_tariffs[Cost (IF INVESTIGATION)],MATCH(Additional_Inv_Proc_Tariff_List,TBL_Manually_added_tariffs[Activity],0))</f>
        <v>#N/A</v>
      </c>
      <c r="F401" s="181"/>
    </row>
    <row r="402" spans="1:6" hidden="1" x14ac:dyDescent="0.2">
      <c r="A402" s="38" t="e">
        <f>INDEX(Non_Tariff_Cost,MATCH(0,INDEX(COUNTIF($A$205:A401,Non_Tariff_Cost),0,0),0))</f>
        <v>#N/A</v>
      </c>
      <c r="B402" s="288" t="e">
        <f>INDEX(TBL_Manually_added_tariffs[ActivityType],MATCH(Additional_Inv_Proc_Tariff_List,TBL_Manually_added_tariffs[Activity],0))</f>
        <v>#N/A</v>
      </c>
      <c r="C402" s="156"/>
      <c r="D402" s="156"/>
      <c r="E402" s="35" t="e">
        <f>INDEX(TBL_Manually_added_tariffs[Cost (IF INVESTIGATION)],MATCH(Additional_Inv_Proc_Tariff_List,TBL_Manually_added_tariffs[Activity],0))</f>
        <v>#N/A</v>
      </c>
      <c r="F402" s="181"/>
    </row>
    <row r="403" spans="1:6" hidden="1" x14ac:dyDescent="0.2">
      <c r="A403" s="38" t="e">
        <f>INDEX(Non_Tariff_Cost,MATCH(0,INDEX(COUNTIF($A$205:A402,Non_Tariff_Cost),0,0),0))</f>
        <v>#N/A</v>
      </c>
      <c r="B403" s="288" t="e">
        <f>INDEX(TBL_Manually_added_tariffs[ActivityType],MATCH(Additional_Inv_Proc_Tariff_List,TBL_Manually_added_tariffs[Activity],0))</f>
        <v>#N/A</v>
      </c>
      <c r="C403" s="156"/>
      <c r="D403" s="156"/>
      <c r="E403" s="35" t="e">
        <f>INDEX(TBL_Manually_added_tariffs[Cost (IF INVESTIGATION)],MATCH(Additional_Inv_Proc_Tariff_List,TBL_Manually_added_tariffs[Activity],0))</f>
        <v>#N/A</v>
      </c>
      <c r="F403" s="181"/>
    </row>
    <row r="404" spans="1:6" hidden="1" x14ac:dyDescent="0.2">
      <c r="A404" s="38" t="e">
        <f>INDEX(Non_Tariff_Cost,MATCH(0,INDEX(COUNTIF($A$205:A403,Non_Tariff_Cost),0,0),0))</f>
        <v>#N/A</v>
      </c>
      <c r="B404" s="288" t="e">
        <f>INDEX(TBL_Manually_added_tariffs[ActivityType],MATCH(Additional_Inv_Proc_Tariff_List,TBL_Manually_added_tariffs[Activity],0))</f>
        <v>#N/A</v>
      </c>
      <c r="C404" s="156"/>
      <c r="D404" s="156"/>
      <c r="E404" s="35" t="e">
        <f>INDEX(TBL_Manually_added_tariffs[Cost (IF INVESTIGATION)],MATCH(Additional_Inv_Proc_Tariff_List,TBL_Manually_added_tariffs[Activity],0))</f>
        <v>#N/A</v>
      </c>
      <c r="F404" s="181"/>
    </row>
    <row r="405" spans="1:6" hidden="1" x14ac:dyDescent="0.2">
      <c r="A405" s="38" t="e">
        <f>INDEX(Non_Tariff_Cost,MATCH(0,INDEX(COUNTIF($A$205:A404,Non_Tariff_Cost),0,0),0))</f>
        <v>#N/A</v>
      </c>
      <c r="B405" s="288" t="e">
        <f>INDEX(TBL_Manually_added_tariffs[ActivityType],MATCH(Additional_Inv_Proc_Tariff_List,TBL_Manually_added_tariffs[Activity],0))</f>
        <v>#N/A</v>
      </c>
      <c r="C405" s="156"/>
      <c r="D405" s="156"/>
      <c r="E405" s="35" t="e">
        <f>INDEX(TBL_Manually_added_tariffs[Cost (IF INVESTIGATION)],MATCH(Additional_Inv_Proc_Tariff_List,TBL_Manually_added_tariffs[Activity],0))</f>
        <v>#N/A</v>
      </c>
      <c r="F405" s="181"/>
    </row>
    <row r="406" spans="1:6" hidden="1" x14ac:dyDescent="0.2">
      <c r="A406" s="38" t="e">
        <f>INDEX(Non_Tariff_Cost,MATCH(0,INDEX(COUNTIF($A$205:A405,Non_Tariff_Cost),0,0),0))</f>
        <v>#N/A</v>
      </c>
      <c r="B406" s="288" t="e">
        <f>INDEX(TBL_Manually_added_tariffs[ActivityType],MATCH(Additional_Inv_Proc_Tariff_List,TBL_Manually_added_tariffs[Activity],0))</f>
        <v>#N/A</v>
      </c>
      <c r="C406" s="156"/>
      <c r="D406" s="156"/>
      <c r="E406" s="35" t="e">
        <f>INDEX(TBL_Manually_added_tariffs[Cost (IF INVESTIGATION)],MATCH(Additional_Inv_Proc_Tariff_List,TBL_Manually_added_tariffs[Activity],0))</f>
        <v>#N/A</v>
      </c>
      <c r="F406" s="181"/>
    </row>
    <row r="407" spans="1:6" hidden="1" x14ac:dyDescent="0.2">
      <c r="A407" s="38" t="e">
        <f>INDEX(Non_Tariff_Cost,MATCH(0,INDEX(COUNTIF($A$205:A406,Non_Tariff_Cost),0,0),0))</f>
        <v>#N/A</v>
      </c>
      <c r="B407" s="288" t="e">
        <f>INDEX(TBL_Manually_added_tariffs[ActivityType],MATCH(Additional_Inv_Proc_Tariff_List,TBL_Manually_added_tariffs[Activity],0))</f>
        <v>#N/A</v>
      </c>
      <c r="C407" s="156"/>
      <c r="D407" s="156"/>
      <c r="E407" s="35" t="e">
        <f>INDEX(TBL_Manually_added_tariffs[Cost (IF INVESTIGATION)],MATCH(Additional_Inv_Proc_Tariff_List,TBL_Manually_added_tariffs[Activity],0))</f>
        <v>#N/A</v>
      </c>
      <c r="F407" s="181"/>
    </row>
    <row r="408" spans="1:6" hidden="1" x14ac:dyDescent="0.2">
      <c r="A408" s="38" t="e">
        <f>INDEX(Non_Tariff_Cost,MATCH(0,INDEX(COUNTIF($A$205:A407,Non_Tariff_Cost),0,0),0))</f>
        <v>#N/A</v>
      </c>
      <c r="B408" s="288" t="e">
        <f>INDEX(TBL_Manually_added_tariffs[ActivityType],MATCH(Additional_Inv_Proc_Tariff_List,TBL_Manually_added_tariffs[Activity],0))</f>
        <v>#N/A</v>
      </c>
      <c r="C408" s="156"/>
      <c r="D408" s="156"/>
      <c r="E408" s="35" t="e">
        <f>INDEX(TBL_Manually_added_tariffs[Cost (IF INVESTIGATION)],MATCH(Additional_Inv_Proc_Tariff_List,TBL_Manually_added_tariffs[Activity],0))</f>
        <v>#N/A</v>
      </c>
      <c r="F408" s="181"/>
    </row>
    <row r="409" spans="1:6" hidden="1" x14ac:dyDescent="0.2">
      <c r="A409" s="38" t="e">
        <f>INDEX(Non_Tariff_Cost,MATCH(0,INDEX(COUNTIF($A$205:A408,Non_Tariff_Cost),0,0),0))</f>
        <v>#N/A</v>
      </c>
      <c r="B409" s="288" t="e">
        <f>INDEX(TBL_Manually_added_tariffs[ActivityType],MATCH(Additional_Inv_Proc_Tariff_List,TBL_Manually_added_tariffs[Activity],0))</f>
        <v>#N/A</v>
      </c>
      <c r="C409" s="156"/>
      <c r="D409" s="156"/>
      <c r="E409" s="35" t="e">
        <f>INDEX(TBL_Manually_added_tariffs[Cost (IF INVESTIGATION)],MATCH(Additional_Inv_Proc_Tariff_List,TBL_Manually_added_tariffs[Activity],0))</f>
        <v>#N/A</v>
      </c>
      <c r="F409" s="181"/>
    </row>
    <row r="410" spans="1:6" hidden="1" x14ac:dyDescent="0.2">
      <c r="A410" s="38" t="e">
        <f>INDEX(Non_Tariff_Cost,MATCH(0,INDEX(COUNTIF($A$205:A409,Non_Tariff_Cost),0,0),0))</f>
        <v>#N/A</v>
      </c>
      <c r="B410" s="288" t="e">
        <f>INDEX(TBL_Manually_added_tariffs[ActivityType],MATCH(Additional_Inv_Proc_Tariff_List,TBL_Manually_added_tariffs[Activity],0))</f>
        <v>#N/A</v>
      </c>
      <c r="C410" s="156"/>
      <c r="D410" s="156"/>
      <c r="E410" s="35" t="e">
        <f>INDEX(TBL_Manually_added_tariffs[Cost (IF INVESTIGATION)],MATCH(Additional_Inv_Proc_Tariff_List,TBL_Manually_added_tariffs[Activity],0))</f>
        <v>#N/A</v>
      </c>
      <c r="F410" s="181"/>
    </row>
    <row r="411" spans="1:6" hidden="1" x14ac:dyDescent="0.2">
      <c r="A411" s="38" t="e">
        <f>INDEX(Non_Tariff_Cost,MATCH(0,INDEX(COUNTIF($A$205:A410,Non_Tariff_Cost),0,0),0))</f>
        <v>#N/A</v>
      </c>
      <c r="B411" s="288" t="e">
        <f>INDEX(TBL_Manually_added_tariffs[ActivityType],MATCH(Additional_Inv_Proc_Tariff_List,TBL_Manually_added_tariffs[Activity],0))</f>
        <v>#N/A</v>
      </c>
      <c r="C411" s="156"/>
      <c r="D411" s="156"/>
      <c r="E411" s="35" t="e">
        <f>INDEX(TBL_Manually_added_tariffs[Cost (IF INVESTIGATION)],MATCH(Additional_Inv_Proc_Tariff_List,TBL_Manually_added_tariffs[Activity],0))</f>
        <v>#N/A</v>
      </c>
      <c r="F411" s="181"/>
    </row>
    <row r="412" spans="1:6" hidden="1" x14ac:dyDescent="0.2">
      <c r="A412" s="38" t="e">
        <f>INDEX(Non_Tariff_Cost,MATCH(0,INDEX(COUNTIF($A$205:A411,Non_Tariff_Cost),0,0),0))</f>
        <v>#N/A</v>
      </c>
      <c r="B412" s="288" t="e">
        <f>INDEX(TBL_Manually_added_tariffs[ActivityType],MATCH(Additional_Inv_Proc_Tariff_List,TBL_Manually_added_tariffs[Activity],0))</f>
        <v>#N/A</v>
      </c>
      <c r="C412" s="156"/>
      <c r="D412" s="156"/>
      <c r="E412" s="35" t="e">
        <f>INDEX(TBL_Manually_added_tariffs[Cost (IF INVESTIGATION)],MATCH(Additional_Inv_Proc_Tariff_List,TBL_Manually_added_tariffs[Activity],0))</f>
        <v>#N/A</v>
      </c>
      <c r="F412" s="181"/>
    </row>
    <row r="413" spans="1:6" hidden="1" x14ac:dyDescent="0.2">
      <c r="A413" s="38" t="e">
        <f>INDEX(Non_Tariff_Cost,MATCH(0,INDEX(COUNTIF($A$205:A412,Non_Tariff_Cost),0,0),0))</f>
        <v>#N/A</v>
      </c>
      <c r="B413" s="288" t="e">
        <f>INDEX(TBL_Manually_added_tariffs[ActivityType],MATCH(Additional_Inv_Proc_Tariff_List,TBL_Manually_added_tariffs[Activity],0))</f>
        <v>#N/A</v>
      </c>
      <c r="C413" s="156"/>
      <c r="D413" s="156"/>
      <c r="E413" s="35" t="e">
        <f>INDEX(TBL_Manually_added_tariffs[Cost (IF INVESTIGATION)],MATCH(Additional_Inv_Proc_Tariff_List,TBL_Manually_added_tariffs[Activity],0))</f>
        <v>#N/A</v>
      </c>
      <c r="F413" s="181"/>
    </row>
    <row r="414" spans="1:6" hidden="1" x14ac:dyDescent="0.2">
      <c r="A414" s="38" t="e">
        <f>INDEX(Non_Tariff_Cost,MATCH(0,INDEX(COUNTIF($A$205:A413,Non_Tariff_Cost),0,0),0))</f>
        <v>#N/A</v>
      </c>
      <c r="B414" s="288" t="e">
        <f>INDEX(TBL_Manually_added_tariffs[ActivityType],MATCH(Additional_Inv_Proc_Tariff_List,TBL_Manually_added_tariffs[Activity],0))</f>
        <v>#N/A</v>
      </c>
      <c r="C414" s="156"/>
      <c r="D414" s="156"/>
      <c r="E414" s="35" t="e">
        <f>INDEX(TBL_Manually_added_tariffs[Cost (IF INVESTIGATION)],MATCH(Additional_Inv_Proc_Tariff_List,TBL_Manually_added_tariffs[Activity],0))</f>
        <v>#N/A</v>
      </c>
      <c r="F414" s="181"/>
    </row>
    <row r="415" spans="1:6" hidden="1" x14ac:dyDescent="0.2">
      <c r="A415" s="38" t="e">
        <f>INDEX(Non_Tariff_Cost,MATCH(0,INDEX(COUNTIF($A$205:A414,Non_Tariff_Cost),0,0),0))</f>
        <v>#N/A</v>
      </c>
      <c r="B415" s="288" t="e">
        <f>INDEX(TBL_Manually_added_tariffs[ActivityType],MATCH(Additional_Inv_Proc_Tariff_List,TBL_Manually_added_tariffs[Activity],0))</f>
        <v>#N/A</v>
      </c>
      <c r="C415" s="156"/>
      <c r="D415" s="156"/>
      <c r="E415" s="35" t="e">
        <f>INDEX(TBL_Manually_added_tariffs[Cost (IF INVESTIGATION)],MATCH(Additional_Inv_Proc_Tariff_List,TBL_Manually_added_tariffs[Activity],0))</f>
        <v>#N/A</v>
      </c>
      <c r="F415" s="181"/>
    </row>
    <row r="416" spans="1:6" hidden="1" x14ac:dyDescent="0.2">
      <c r="A416" s="38" t="e">
        <f>INDEX(Non_Tariff_Cost,MATCH(0,INDEX(COUNTIF($A$205:A415,Non_Tariff_Cost),0,0),0))</f>
        <v>#N/A</v>
      </c>
      <c r="B416" s="288" t="e">
        <f>INDEX(TBL_Manually_added_tariffs[ActivityType],MATCH(Additional_Inv_Proc_Tariff_List,TBL_Manually_added_tariffs[Activity],0))</f>
        <v>#N/A</v>
      </c>
      <c r="C416" s="156"/>
      <c r="D416" s="156"/>
      <c r="E416" s="35" t="e">
        <f>INDEX(TBL_Manually_added_tariffs[Cost (IF INVESTIGATION)],MATCH(Additional_Inv_Proc_Tariff_List,TBL_Manually_added_tariffs[Activity],0))</f>
        <v>#N/A</v>
      </c>
      <c r="F416" s="181"/>
    </row>
    <row r="417" spans="1:6" hidden="1" x14ac:dyDescent="0.2">
      <c r="A417" s="38" t="e">
        <f>INDEX(Non_Tariff_Cost,MATCH(0,INDEX(COUNTIF($A$205:A416,Non_Tariff_Cost),0,0),0))</f>
        <v>#N/A</v>
      </c>
      <c r="B417" s="288" t="e">
        <f>INDEX(TBL_Manually_added_tariffs[ActivityType],MATCH(Additional_Inv_Proc_Tariff_List,TBL_Manually_added_tariffs[Activity],0))</f>
        <v>#N/A</v>
      </c>
      <c r="C417" s="156"/>
      <c r="D417" s="156"/>
      <c r="E417" s="35" t="e">
        <f>INDEX(TBL_Manually_added_tariffs[Cost (IF INVESTIGATION)],MATCH(Additional_Inv_Proc_Tariff_List,TBL_Manually_added_tariffs[Activity],0))</f>
        <v>#N/A</v>
      </c>
      <c r="F417" s="181"/>
    </row>
    <row r="418" spans="1:6" hidden="1" x14ac:dyDescent="0.2">
      <c r="A418" s="38" t="e">
        <f>INDEX(Non_Tariff_Cost,MATCH(0,INDEX(COUNTIF($A$205:A417,Non_Tariff_Cost),0,0),0))</f>
        <v>#N/A</v>
      </c>
      <c r="B418" s="288" t="e">
        <f>INDEX(TBL_Manually_added_tariffs[ActivityType],MATCH(Additional_Inv_Proc_Tariff_List,TBL_Manually_added_tariffs[Activity],0))</f>
        <v>#N/A</v>
      </c>
      <c r="C418" s="156"/>
      <c r="D418" s="156"/>
      <c r="E418" s="35" t="e">
        <f>INDEX(TBL_Manually_added_tariffs[Cost (IF INVESTIGATION)],MATCH(Additional_Inv_Proc_Tariff_List,TBL_Manually_added_tariffs[Activity],0))</f>
        <v>#N/A</v>
      </c>
      <c r="F418" s="181"/>
    </row>
    <row r="419" spans="1:6" hidden="1" x14ac:dyDescent="0.2">
      <c r="A419" s="38" t="e">
        <f>INDEX(Non_Tariff_Cost,MATCH(0,INDEX(COUNTIF($A$205:A418,Non_Tariff_Cost),0,0),0))</f>
        <v>#N/A</v>
      </c>
      <c r="B419" s="288" t="e">
        <f>INDEX(TBL_Manually_added_tariffs[ActivityType],MATCH(Additional_Inv_Proc_Tariff_List,TBL_Manually_added_tariffs[Activity],0))</f>
        <v>#N/A</v>
      </c>
      <c r="C419" s="156"/>
      <c r="D419" s="156"/>
      <c r="E419" s="35" t="e">
        <f>INDEX(TBL_Manually_added_tariffs[Cost (IF INVESTIGATION)],MATCH(Additional_Inv_Proc_Tariff_List,TBL_Manually_added_tariffs[Activity],0))</f>
        <v>#N/A</v>
      </c>
      <c r="F419" s="181"/>
    </row>
    <row r="420" spans="1:6" hidden="1" x14ac:dyDescent="0.2">
      <c r="A420" s="38" t="e">
        <f>INDEX(Non_Tariff_Cost,MATCH(0,INDEX(COUNTIF($A$205:A419,Non_Tariff_Cost),0,0),0))</f>
        <v>#N/A</v>
      </c>
      <c r="B420" s="288" t="e">
        <f>INDEX(TBL_Manually_added_tariffs[ActivityType],MATCH(Additional_Inv_Proc_Tariff_List,TBL_Manually_added_tariffs[Activity],0))</f>
        <v>#N/A</v>
      </c>
      <c r="C420" s="156"/>
      <c r="D420" s="156"/>
      <c r="E420" s="35" t="e">
        <f>INDEX(TBL_Manually_added_tariffs[Cost (IF INVESTIGATION)],MATCH(Additional_Inv_Proc_Tariff_List,TBL_Manually_added_tariffs[Activity],0))</f>
        <v>#N/A</v>
      </c>
      <c r="F420" s="181"/>
    </row>
    <row r="421" spans="1:6" hidden="1" x14ac:dyDescent="0.2">
      <c r="A421" s="38" t="e">
        <f>INDEX(Non_Tariff_Cost,MATCH(0,INDEX(COUNTIF($A$205:A420,Non_Tariff_Cost),0,0),0))</f>
        <v>#N/A</v>
      </c>
      <c r="B421" s="288" t="e">
        <f>INDEX(TBL_Manually_added_tariffs[ActivityType],MATCH(Additional_Inv_Proc_Tariff_List,TBL_Manually_added_tariffs[Activity],0))</f>
        <v>#N/A</v>
      </c>
      <c r="C421" s="156"/>
      <c r="D421" s="156"/>
      <c r="E421" s="35" t="e">
        <f>INDEX(TBL_Manually_added_tariffs[Cost (IF INVESTIGATION)],MATCH(Additional_Inv_Proc_Tariff_List,TBL_Manually_added_tariffs[Activity],0))</f>
        <v>#N/A</v>
      </c>
      <c r="F421" s="181"/>
    </row>
    <row r="422" spans="1:6" hidden="1" x14ac:dyDescent="0.2">
      <c r="A422" s="38" t="e">
        <f>INDEX(Non_Tariff_Cost,MATCH(0,INDEX(COUNTIF($A$205:A421,Non_Tariff_Cost),0,0),0))</f>
        <v>#N/A</v>
      </c>
      <c r="B422" s="288" t="e">
        <f>INDEX(TBL_Manually_added_tariffs[ActivityType],MATCH(Additional_Inv_Proc_Tariff_List,TBL_Manually_added_tariffs[Activity],0))</f>
        <v>#N/A</v>
      </c>
      <c r="C422" s="156"/>
      <c r="D422" s="156"/>
      <c r="E422" s="35" t="e">
        <f>INDEX(TBL_Manually_added_tariffs[Cost (IF INVESTIGATION)],MATCH(Additional_Inv_Proc_Tariff_List,TBL_Manually_added_tariffs[Activity],0))</f>
        <v>#N/A</v>
      </c>
      <c r="F422" s="181"/>
    </row>
    <row r="423" spans="1:6" hidden="1" x14ac:dyDescent="0.2">
      <c r="A423" s="38" t="e">
        <f>INDEX(Non_Tariff_Cost,MATCH(0,INDEX(COUNTIF($A$205:A422,Non_Tariff_Cost),0,0),0))</f>
        <v>#N/A</v>
      </c>
      <c r="B423" s="288" t="e">
        <f>INDEX(TBL_Manually_added_tariffs[ActivityType],MATCH(Additional_Inv_Proc_Tariff_List,TBL_Manually_added_tariffs[Activity],0))</f>
        <v>#N/A</v>
      </c>
      <c r="C423" s="156"/>
      <c r="D423" s="156"/>
      <c r="E423" s="35" t="e">
        <f>INDEX(TBL_Manually_added_tariffs[Cost (IF INVESTIGATION)],MATCH(Additional_Inv_Proc_Tariff_List,TBL_Manually_added_tariffs[Activity],0))</f>
        <v>#N/A</v>
      </c>
      <c r="F423" s="181"/>
    </row>
    <row r="424" spans="1:6" hidden="1" x14ac:dyDescent="0.2">
      <c r="A424" s="38" t="e">
        <f>INDEX(Non_Tariff_Cost,MATCH(0,INDEX(COUNTIF($A$205:A423,Non_Tariff_Cost),0,0),0))</f>
        <v>#N/A</v>
      </c>
      <c r="B424" s="288" t="e">
        <f>INDEX(TBL_Manually_added_tariffs[ActivityType],MATCH(Additional_Inv_Proc_Tariff_List,TBL_Manually_added_tariffs[Activity],0))</f>
        <v>#N/A</v>
      </c>
      <c r="C424" s="156"/>
      <c r="D424" s="156"/>
      <c r="E424" s="35" t="e">
        <f>INDEX(TBL_Manually_added_tariffs[Cost (IF INVESTIGATION)],MATCH(Additional_Inv_Proc_Tariff_List,TBL_Manually_added_tariffs[Activity],0))</f>
        <v>#N/A</v>
      </c>
      <c r="F424" s="181"/>
    </row>
    <row r="425" spans="1:6" hidden="1" x14ac:dyDescent="0.2">
      <c r="A425" s="38" t="e">
        <f>INDEX(Non_Tariff_Cost,MATCH(0,INDEX(COUNTIF($A$205:A424,Non_Tariff_Cost),0,0),0))</f>
        <v>#N/A</v>
      </c>
      <c r="B425" s="288" t="e">
        <f>INDEX(TBL_Manually_added_tariffs[ActivityType],MATCH(Additional_Inv_Proc_Tariff_List,TBL_Manually_added_tariffs[Activity],0))</f>
        <v>#N/A</v>
      </c>
      <c r="C425" s="156"/>
      <c r="D425" s="156"/>
      <c r="E425" s="35" t="e">
        <f>INDEX(TBL_Manually_added_tariffs[Cost (IF INVESTIGATION)],MATCH(Additional_Inv_Proc_Tariff_List,TBL_Manually_added_tariffs[Activity],0))</f>
        <v>#N/A</v>
      </c>
      <c r="F425" s="181"/>
    </row>
    <row r="426" spans="1:6" hidden="1" x14ac:dyDescent="0.2">
      <c r="A426" s="38" t="e">
        <f>INDEX(Non_Tariff_Cost,MATCH(0,INDEX(COUNTIF($A$205:A425,Non_Tariff_Cost),0,0),0))</f>
        <v>#N/A</v>
      </c>
      <c r="B426" s="288" t="e">
        <f>INDEX(TBL_Manually_added_tariffs[ActivityType],MATCH(Additional_Inv_Proc_Tariff_List,TBL_Manually_added_tariffs[Activity],0))</f>
        <v>#N/A</v>
      </c>
      <c r="C426" s="156"/>
      <c r="D426" s="156"/>
      <c r="E426" s="35" t="e">
        <f>INDEX(TBL_Manually_added_tariffs[Cost (IF INVESTIGATION)],MATCH(Additional_Inv_Proc_Tariff_List,TBL_Manually_added_tariffs[Activity],0))</f>
        <v>#N/A</v>
      </c>
      <c r="F426" s="181"/>
    </row>
    <row r="427" spans="1:6" hidden="1" x14ac:dyDescent="0.2">
      <c r="A427" s="38" t="e">
        <f>INDEX(Non_Tariff_Cost,MATCH(0,INDEX(COUNTIF($A$205:A426,Non_Tariff_Cost),0,0),0))</f>
        <v>#N/A</v>
      </c>
      <c r="B427" s="288" t="e">
        <f>INDEX(TBL_Manually_added_tariffs[ActivityType],MATCH(Additional_Inv_Proc_Tariff_List,TBL_Manually_added_tariffs[Activity],0))</f>
        <v>#N/A</v>
      </c>
      <c r="C427" s="156"/>
      <c r="D427" s="156"/>
      <c r="E427" s="35" t="e">
        <f>INDEX(TBL_Manually_added_tariffs[Cost (IF INVESTIGATION)],MATCH(Additional_Inv_Proc_Tariff_List,TBL_Manually_added_tariffs[Activity],0))</f>
        <v>#N/A</v>
      </c>
      <c r="F427" s="181"/>
    </row>
    <row r="428" spans="1:6" hidden="1" x14ac:dyDescent="0.2">
      <c r="A428" s="38" t="e">
        <f>INDEX(Non_Tariff_Cost,MATCH(0,INDEX(COUNTIF($A$205:A427,Non_Tariff_Cost),0,0),0))</f>
        <v>#N/A</v>
      </c>
      <c r="B428" s="288" t="e">
        <f>INDEX(TBL_Manually_added_tariffs[ActivityType],MATCH(Additional_Inv_Proc_Tariff_List,TBL_Manually_added_tariffs[Activity],0))</f>
        <v>#N/A</v>
      </c>
      <c r="C428" s="156"/>
      <c r="D428" s="156"/>
      <c r="E428" s="35" t="e">
        <f>INDEX(TBL_Manually_added_tariffs[Cost (IF INVESTIGATION)],MATCH(Additional_Inv_Proc_Tariff_List,TBL_Manually_added_tariffs[Activity],0))</f>
        <v>#N/A</v>
      </c>
      <c r="F428" s="181"/>
    </row>
    <row r="429" spans="1:6" hidden="1" x14ac:dyDescent="0.2">
      <c r="A429" s="38" t="e">
        <f>INDEX(Non_Tariff_Cost,MATCH(0,INDEX(COUNTIF($A$205:A428,Non_Tariff_Cost),0,0),0))</f>
        <v>#N/A</v>
      </c>
      <c r="B429" s="288" t="e">
        <f>INDEX(TBL_Manually_added_tariffs[ActivityType],MATCH(Additional_Inv_Proc_Tariff_List,TBL_Manually_added_tariffs[Activity],0))</f>
        <v>#N/A</v>
      </c>
      <c r="C429" s="156"/>
      <c r="D429" s="156"/>
      <c r="E429" s="35" t="e">
        <f>INDEX(TBL_Manually_added_tariffs[Cost (IF INVESTIGATION)],MATCH(Additional_Inv_Proc_Tariff_List,TBL_Manually_added_tariffs[Activity],0))</f>
        <v>#N/A</v>
      </c>
      <c r="F429" s="181"/>
    </row>
    <row r="430" spans="1:6" hidden="1" x14ac:dyDescent="0.2">
      <c r="A430" s="38" t="e">
        <f>INDEX(Non_Tariff_Cost,MATCH(0,INDEX(COUNTIF($A$205:A429,Non_Tariff_Cost),0,0),0))</f>
        <v>#N/A</v>
      </c>
      <c r="B430" s="288" t="e">
        <f>INDEX(TBL_Manually_added_tariffs[ActivityType],MATCH(Additional_Inv_Proc_Tariff_List,TBL_Manually_added_tariffs[Activity],0))</f>
        <v>#N/A</v>
      </c>
      <c r="C430" s="156"/>
      <c r="D430" s="156"/>
      <c r="E430" s="35" t="e">
        <f>INDEX(TBL_Manually_added_tariffs[Cost (IF INVESTIGATION)],MATCH(Additional_Inv_Proc_Tariff_List,TBL_Manually_added_tariffs[Activity],0))</f>
        <v>#N/A</v>
      </c>
      <c r="F430" s="181"/>
    </row>
    <row r="431" spans="1:6" hidden="1" x14ac:dyDescent="0.2">
      <c r="A431" s="38" t="e">
        <f>INDEX(Non_Tariff_Cost,MATCH(0,INDEX(COUNTIF($A$205:A430,Non_Tariff_Cost),0,0),0))</f>
        <v>#N/A</v>
      </c>
      <c r="B431" s="288" t="e">
        <f>INDEX(TBL_Manually_added_tariffs[ActivityType],MATCH(Additional_Inv_Proc_Tariff_List,TBL_Manually_added_tariffs[Activity],0))</f>
        <v>#N/A</v>
      </c>
      <c r="C431" s="156"/>
      <c r="D431" s="156"/>
      <c r="E431" s="35" t="e">
        <f>INDEX(TBL_Manually_added_tariffs[Cost (IF INVESTIGATION)],MATCH(Additional_Inv_Proc_Tariff_List,TBL_Manually_added_tariffs[Activity],0))</f>
        <v>#N/A</v>
      </c>
      <c r="F431" s="181"/>
    </row>
    <row r="432" spans="1:6" hidden="1" x14ac:dyDescent="0.2">
      <c r="A432" s="38" t="e">
        <f>INDEX(Non_Tariff_Cost,MATCH(0,INDEX(COUNTIF($A$205:A431,Non_Tariff_Cost),0,0),0))</f>
        <v>#N/A</v>
      </c>
      <c r="B432" s="288" t="e">
        <f>INDEX(TBL_Manually_added_tariffs[ActivityType],MATCH(Additional_Inv_Proc_Tariff_List,TBL_Manually_added_tariffs[Activity],0))</f>
        <v>#N/A</v>
      </c>
      <c r="C432" s="156"/>
      <c r="D432" s="156"/>
      <c r="E432" s="35" t="e">
        <f>INDEX(TBL_Manually_added_tariffs[Cost (IF INVESTIGATION)],MATCH(Additional_Inv_Proc_Tariff_List,TBL_Manually_added_tariffs[Activity],0))</f>
        <v>#N/A</v>
      </c>
      <c r="F432" s="181"/>
    </row>
    <row r="433" spans="1:6" hidden="1" x14ac:dyDescent="0.2">
      <c r="A433" s="38" t="e">
        <f>INDEX(Non_Tariff_Cost,MATCH(0,INDEX(COUNTIF($A$205:A432,Non_Tariff_Cost),0,0),0))</f>
        <v>#N/A</v>
      </c>
      <c r="B433" s="288" t="e">
        <f>INDEX(TBL_Manually_added_tariffs[ActivityType],MATCH(Additional_Inv_Proc_Tariff_List,TBL_Manually_added_tariffs[Activity],0))</f>
        <v>#N/A</v>
      </c>
      <c r="C433" s="156"/>
      <c r="D433" s="156"/>
      <c r="E433" s="35" t="e">
        <f>INDEX(TBL_Manually_added_tariffs[Cost (IF INVESTIGATION)],MATCH(Additional_Inv_Proc_Tariff_List,TBL_Manually_added_tariffs[Activity],0))</f>
        <v>#N/A</v>
      </c>
      <c r="F433" s="181"/>
    </row>
    <row r="434" spans="1:6" hidden="1" x14ac:dyDescent="0.2">
      <c r="A434" s="38" t="e">
        <f>INDEX(Non_Tariff_Cost,MATCH(0,INDEX(COUNTIF($A$205:A433,Non_Tariff_Cost),0,0),0))</f>
        <v>#N/A</v>
      </c>
      <c r="B434" s="288" t="e">
        <f>INDEX(TBL_Manually_added_tariffs[ActivityType],MATCH(Additional_Inv_Proc_Tariff_List,TBL_Manually_added_tariffs[Activity],0))</f>
        <v>#N/A</v>
      </c>
      <c r="C434" s="156"/>
      <c r="D434" s="156"/>
      <c r="E434" s="35" t="e">
        <f>INDEX(TBL_Manually_added_tariffs[Cost (IF INVESTIGATION)],MATCH(Additional_Inv_Proc_Tariff_List,TBL_Manually_added_tariffs[Activity],0))</f>
        <v>#N/A</v>
      </c>
      <c r="F434" s="181"/>
    </row>
    <row r="435" spans="1:6" hidden="1" x14ac:dyDescent="0.2">
      <c r="A435" s="38" t="e">
        <f>INDEX(Non_Tariff_Cost,MATCH(0,INDEX(COUNTIF($A$205:A434,Non_Tariff_Cost),0,0),0))</f>
        <v>#N/A</v>
      </c>
      <c r="B435" s="288" t="e">
        <f>INDEX(TBL_Manually_added_tariffs[ActivityType],MATCH(Additional_Inv_Proc_Tariff_List,TBL_Manually_added_tariffs[Activity],0))</f>
        <v>#N/A</v>
      </c>
      <c r="C435" s="156"/>
      <c r="D435" s="156"/>
      <c r="E435" s="35" t="e">
        <f>INDEX(TBL_Manually_added_tariffs[Cost (IF INVESTIGATION)],MATCH(Additional_Inv_Proc_Tariff_List,TBL_Manually_added_tariffs[Activity],0))</f>
        <v>#N/A</v>
      </c>
      <c r="F435" s="181"/>
    </row>
    <row r="436" spans="1:6" hidden="1" x14ac:dyDescent="0.2">
      <c r="A436" s="38" t="e">
        <f>INDEX(Non_Tariff_Cost,MATCH(0,INDEX(COUNTIF($A$205:A435,Non_Tariff_Cost),0,0),0))</f>
        <v>#N/A</v>
      </c>
      <c r="B436" s="288" t="e">
        <f>INDEX(TBL_Manually_added_tariffs[ActivityType],MATCH(Additional_Inv_Proc_Tariff_List,TBL_Manually_added_tariffs[Activity],0))</f>
        <v>#N/A</v>
      </c>
      <c r="C436" s="156"/>
      <c r="D436" s="156"/>
      <c r="E436" s="35" t="e">
        <f>INDEX(TBL_Manually_added_tariffs[Cost (IF INVESTIGATION)],MATCH(Additional_Inv_Proc_Tariff_List,TBL_Manually_added_tariffs[Activity],0))</f>
        <v>#N/A</v>
      </c>
      <c r="F436" s="181"/>
    </row>
    <row r="437" spans="1:6" hidden="1" x14ac:dyDescent="0.2">
      <c r="A437" s="38" t="e">
        <f>INDEX(Non_Tariff_Cost,MATCH(0,INDEX(COUNTIF($A$205:A436,Non_Tariff_Cost),0,0),0))</f>
        <v>#N/A</v>
      </c>
      <c r="B437" s="288" t="e">
        <f>INDEX(TBL_Manually_added_tariffs[ActivityType],MATCH(Additional_Inv_Proc_Tariff_List,TBL_Manually_added_tariffs[Activity],0))</f>
        <v>#N/A</v>
      </c>
      <c r="C437" s="156"/>
      <c r="D437" s="156"/>
      <c r="E437" s="35" t="e">
        <f>INDEX(TBL_Manually_added_tariffs[Cost (IF INVESTIGATION)],MATCH(Additional_Inv_Proc_Tariff_List,TBL_Manually_added_tariffs[Activity],0))</f>
        <v>#N/A</v>
      </c>
      <c r="F437" s="181"/>
    </row>
    <row r="438" spans="1:6" hidden="1" x14ac:dyDescent="0.2">
      <c r="A438" s="38" t="e">
        <f>INDEX(Non_Tariff_Cost,MATCH(0,INDEX(COUNTIF($A$205:A437,Non_Tariff_Cost),0,0),0))</f>
        <v>#N/A</v>
      </c>
      <c r="B438" s="288" t="e">
        <f>INDEX(TBL_Manually_added_tariffs[ActivityType],MATCH(Additional_Inv_Proc_Tariff_List,TBL_Manually_added_tariffs[Activity],0))</f>
        <v>#N/A</v>
      </c>
      <c r="C438" s="156"/>
      <c r="D438" s="156"/>
      <c r="E438" s="35" t="e">
        <f>INDEX(TBL_Manually_added_tariffs[Cost (IF INVESTIGATION)],MATCH(Additional_Inv_Proc_Tariff_List,TBL_Manually_added_tariffs[Activity],0))</f>
        <v>#N/A</v>
      </c>
      <c r="F438" s="181"/>
    </row>
    <row r="439" spans="1:6" hidden="1" x14ac:dyDescent="0.2">
      <c r="A439" s="38" t="e">
        <f>INDEX(Non_Tariff_Cost,MATCH(0,INDEX(COUNTIF($A$205:A438,Non_Tariff_Cost),0,0),0))</f>
        <v>#N/A</v>
      </c>
      <c r="B439" s="288" t="e">
        <f>INDEX(TBL_Manually_added_tariffs[ActivityType],MATCH(Additional_Inv_Proc_Tariff_List,TBL_Manually_added_tariffs[Activity],0))</f>
        <v>#N/A</v>
      </c>
      <c r="C439" s="156"/>
      <c r="D439" s="156"/>
      <c r="E439" s="35" t="e">
        <f>INDEX(TBL_Manually_added_tariffs[Cost (IF INVESTIGATION)],MATCH(Additional_Inv_Proc_Tariff_List,TBL_Manually_added_tariffs[Activity],0))</f>
        <v>#N/A</v>
      </c>
      <c r="F439" s="181"/>
    </row>
    <row r="440" spans="1:6" hidden="1" x14ac:dyDescent="0.2">
      <c r="A440" s="38" t="e">
        <f>INDEX(Non_Tariff_Cost,MATCH(0,INDEX(COUNTIF($A$205:A439,Non_Tariff_Cost),0,0),0))</f>
        <v>#N/A</v>
      </c>
      <c r="B440" s="288" t="e">
        <f>INDEX(TBL_Manually_added_tariffs[ActivityType],MATCH(Additional_Inv_Proc_Tariff_List,TBL_Manually_added_tariffs[Activity],0))</f>
        <v>#N/A</v>
      </c>
      <c r="C440" s="156"/>
      <c r="D440" s="156"/>
      <c r="E440" s="35" t="e">
        <f>INDEX(TBL_Manually_added_tariffs[Cost (IF INVESTIGATION)],MATCH(Additional_Inv_Proc_Tariff_List,TBL_Manually_added_tariffs[Activity],0))</f>
        <v>#N/A</v>
      </c>
      <c r="F440" s="181"/>
    </row>
    <row r="441" spans="1:6" hidden="1" x14ac:dyDescent="0.2">
      <c r="A441" s="38" t="e">
        <f>INDEX(Non_Tariff_Cost,MATCH(0,INDEX(COUNTIF($A$205:A440,Non_Tariff_Cost),0,0),0))</f>
        <v>#N/A</v>
      </c>
      <c r="B441" s="288" t="e">
        <f>INDEX(TBL_Manually_added_tariffs[ActivityType],MATCH(Additional_Inv_Proc_Tariff_List,TBL_Manually_added_tariffs[Activity],0))</f>
        <v>#N/A</v>
      </c>
      <c r="C441" s="156"/>
      <c r="D441" s="156"/>
      <c r="E441" s="35" t="e">
        <f>INDEX(TBL_Manually_added_tariffs[Cost (IF INVESTIGATION)],MATCH(Additional_Inv_Proc_Tariff_List,TBL_Manually_added_tariffs[Activity],0))</f>
        <v>#N/A</v>
      </c>
      <c r="F441" s="181"/>
    </row>
    <row r="442" spans="1:6" hidden="1" x14ac:dyDescent="0.2">
      <c r="A442" s="38" t="e">
        <f>INDEX(Non_Tariff_Cost,MATCH(0,INDEX(COUNTIF($A$205:A441,Non_Tariff_Cost),0,0),0))</f>
        <v>#N/A</v>
      </c>
      <c r="B442" s="288" t="e">
        <f>INDEX(TBL_Manually_added_tariffs[ActivityType],MATCH(Additional_Inv_Proc_Tariff_List,TBL_Manually_added_tariffs[Activity],0))</f>
        <v>#N/A</v>
      </c>
      <c r="C442" s="156"/>
      <c r="D442" s="156"/>
      <c r="E442" s="35" t="e">
        <f>INDEX(TBL_Manually_added_tariffs[Cost (IF INVESTIGATION)],MATCH(Additional_Inv_Proc_Tariff_List,TBL_Manually_added_tariffs[Activity],0))</f>
        <v>#N/A</v>
      </c>
      <c r="F442" s="181"/>
    </row>
    <row r="443" spans="1:6" hidden="1" x14ac:dyDescent="0.2">
      <c r="A443" s="38" t="e">
        <f>INDEX(Non_Tariff_Cost,MATCH(0,INDEX(COUNTIF($A$205:A442,Non_Tariff_Cost),0,0),0))</f>
        <v>#N/A</v>
      </c>
      <c r="B443" s="288" t="e">
        <f>INDEX(TBL_Manually_added_tariffs[ActivityType],MATCH(Additional_Inv_Proc_Tariff_List,TBL_Manually_added_tariffs[Activity],0))</f>
        <v>#N/A</v>
      </c>
      <c r="C443" s="156"/>
      <c r="D443" s="156"/>
      <c r="E443" s="35" t="e">
        <f>INDEX(TBL_Manually_added_tariffs[Cost (IF INVESTIGATION)],MATCH(Additional_Inv_Proc_Tariff_List,TBL_Manually_added_tariffs[Activity],0))</f>
        <v>#N/A</v>
      </c>
      <c r="F443" s="181"/>
    </row>
    <row r="444" spans="1:6" hidden="1" x14ac:dyDescent="0.2">
      <c r="A444" s="38" t="e">
        <f>INDEX(Non_Tariff_Cost,MATCH(0,INDEX(COUNTIF($A$205:A443,Non_Tariff_Cost),0,0),0))</f>
        <v>#N/A</v>
      </c>
      <c r="B444" s="288" t="e">
        <f>INDEX(TBL_Manually_added_tariffs[ActivityType],MATCH(Additional_Inv_Proc_Tariff_List,TBL_Manually_added_tariffs[Activity],0))</f>
        <v>#N/A</v>
      </c>
      <c r="C444" s="156"/>
      <c r="D444" s="156"/>
      <c r="E444" s="35" t="e">
        <f>INDEX(TBL_Manually_added_tariffs[Cost (IF INVESTIGATION)],MATCH(Additional_Inv_Proc_Tariff_List,TBL_Manually_added_tariffs[Activity],0))</f>
        <v>#N/A</v>
      </c>
      <c r="F444" s="181"/>
    </row>
    <row r="445" spans="1:6" hidden="1" x14ac:dyDescent="0.2">
      <c r="A445" s="38" t="e">
        <f>INDEX(Non_Tariff_Cost,MATCH(0,INDEX(COUNTIF($A$205:A444,Non_Tariff_Cost),0,0),0))</f>
        <v>#N/A</v>
      </c>
      <c r="B445" s="288" t="e">
        <f>INDEX(TBL_Manually_added_tariffs[ActivityType],MATCH(Additional_Inv_Proc_Tariff_List,TBL_Manually_added_tariffs[Activity],0))</f>
        <v>#N/A</v>
      </c>
      <c r="C445" s="156"/>
      <c r="D445" s="156"/>
      <c r="E445" s="35" t="e">
        <f>INDEX(TBL_Manually_added_tariffs[Cost (IF INVESTIGATION)],MATCH(Additional_Inv_Proc_Tariff_List,TBL_Manually_added_tariffs[Activity],0))</f>
        <v>#N/A</v>
      </c>
      <c r="F445" s="181"/>
    </row>
    <row r="446" spans="1:6" hidden="1" x14ac:dyDescent="0.2">
      <c r="A446" s="38" t="e">
        <f>INDEX(Non_Tariff_Cost,MATCH(0,INDEX(COUNTIF($A$205:A445,Non_Tariff_Cost),0,0),0))</f>
        <v>#N/A</v>
      </c>
      <c r="B446" s="288" t="e">
        <f>INDEX(TBL_Manually_added_tariffs[ActivityType],MATCH(Additional_Inv_Proc_Tariff_List,TBL_Manually_added_tariffs[Activity],0))</f>
        <v>#N/A</v>
      </c>
      <c r="C446" s="156"/>
      <c r="D446" s="156"/>
      <c r="E446" s="35" t="e">
        <f>INDEX(TBL_Manually_added_tariffs[Cost (IF INVESTIGATION)],MATCH(Additional_Inv_Proc_Tariff_List,TBL_Manually_added_tariffs[Activity],0))</f>
        <v>#N/A</v>
      </c>
      <c r="F446" s="181"/>
    </row>
    <row r="447" spans="1:6" hidden="1" x14ac:dyDescent="0.2">
      <c r="A447" s="38" t="e">
        <f>INDEX(Non_Tariff_Cost,MATCH(0,INDEX(COUNTIF($A$205:A446,Non_Tariff_Cost),0,0),0))</f>
        <v>#N/A</v>
      </c>
      <c r="B447" s="288" t="e">
        <f>INDEX(TBL_Manually_added_tariffs[ActivityType],MATCH(Additional_Inv_Proc_Tariff_List,TBL_Manually_added_tariffs[Activity],0))</f>
        <v>#N/A</v>
      </c>
      <c r="C447" s="156"/>
      <c r="D447" s="156"/>
      <c r="E447" s="35" t="e">
        <f>INDEX(TBL_Manually_added_tariffs[Cost (IF INVESTIGATION)],MATCH(Additional_Inv_Proc_Tariff_List,TBL_Manually_added_tariffs[Activity],0))</f>
        <v>#N/A</v>
      </c>
      <c r="F447" s="181"/>
    </row>
    <row r="448" spans="1:6" hidden="1" x14ac:dyDescent="0.2">
      <c r="A448" s="38" t="e">
        <f>INDEX(Non_Tariff_Cost,MATCH(0,INDEX(COUNTIF($A$205:A447,Non_Tariff_Cost),0,0),0))</f>
        <v>#N/A</v>
      </c>
      <c r="B448" s="288" t="e">
        <f>INDEX(TBL_Manually_added_tariffs[ActivityType],MATCH(Additional_Inv_Proc_Tariff_List,TBL_Manually_added_tariffs[Activity],0))</f>
        <v>#N/A</v>
      </c>
      <c r="C448" s="156"/>
      <c r="D448" s="156"/>
      <c r="E448" s="35" t="e">
        <f>INDEX(TBL_Manually_added_tariffs[Cost (IF INVESTIGATION)],MATCH(Additional_Inv_Proc_Tariff_List,TBL_Manually_added_tariffs[Activity],0))</f>
        <v>#N/A</v>
      </c>
      <c r="F448" s="181"/>
    </row>
    <row r="449" spans="1:6" hidden="1" x14ac:dyDescent="0.2">
      <c r="A449" s="38" t="e">
        <f>INDEX(Non_Tariff_Cost,MATCH(0,INDEX(COUNTIF($A$205:A448,Non_Tariff_Cost),0,0),0))</f>
        <v>#N/A</v>
      </c>
      <c r="B449" s="288" t="e">
        <f>INDEX(TBL_Manually_added_tariffs[ActivityType],MATCH(Additional_Inv_Proc_Tariff_List,TBL_Manually_added_tariffs[Activity],0))</f>
        <v>#N/A</v>
      </c>
      <c r="C449" s="156"/>
      <c r="D449" s="156"/>
      <c r="E449" s="35" t="e">
        <f>INDEX(TBL_Manually_added_tariffs[Cost (IF INVESTIGATION)],MATCH(Additional_Inv_Proc_Tariff_List,TBL_Manually_added_tariffs[Activity],0))</f>
        <v>#N/A</v>
      </c>
      <c r="F449" s="181"/>
    </row>
    <row r="450" spans="1:6" hidden="1" x14ac:dyDescent="0.2">
      <c r="A450" s="38" t="e">
        <f>INDEX(Non_Tariff_Cost,MATCH(0,INDEX(COUNTIF($A$205:A449,Non_Tariff_Cost),0,0),0))</f>
        <v>#N/A</v>
      </c>
      <c r="B450" s="288" t="e">
        <f>INDEX(TBL_Manually_added_tariffs[ActivityType],MATCH(Additional_Inv_Proc_Tariff_List,TBL_Manually_added_tariffs[Activity],0))</f>
        <v>#N/A</v>
      </c>
      <c r="C450" s="156"/>
      <c r="D450" s="156"/>
      <c r="E450" s="35" t="e">
        <f>INDEX(TBL_Manually_added_tariffs[Cost (IF INVESTIGATION)],MATCH(Additional_Inv_Proc_Tariff_List,TBL_Manually_added_tariffs[Activity],0))</f>
        <v>#N/A</v>
      </c>
      <c r="F450" s="181"/>
    </row>
    <row r="451" spans="1:6" hidden="1" x14ac:dyDescent="0.2">
      <c r="A451" s="38" t="e">
        <f>INDEX(Non_Tariff_Cost,MATCH(0,INDEX(COUNTIF($A$205:A450,Non_Tariff_Cost),0,0),0))</f>
        <v>#N/A</v>
      </c>
      <c r="B451" s="288" t="e">
        <f>INDEX(TBL_Manually_added_tariffs[ActivityType],MATCH(Additional_Inv_Proc_Tariff_List,TBL_Manually_added_tariffs[Activity],0))</f>
        <v>#N/A</v>
      </c>
      <c r="C451" s="156"/>
      <c r="D451" s="156"/>
      <c r="E451" s="35" t="e">
        <f>INDEX(TBL_Manually_added_tariffs[Cost (IF INVESTIGATION)],MATCH(Additional_Inv_Proc_Tariff_List,TBL_Manually_added_tariffs[Activity],0))</f>
        <v>#N/A</v>
      </c>
      <c r="F451" s="181"/>
    </row>
    <row r="452" spans="1:6" hidden="1" x14ac:dyDescent="0.2">
      <c r="A452" s="38" t="e">
        <f>INDEX(Non_Tariff_Cost,MATCH(0,INDEX(COUNTIF($A$205:A451,Non_Tariff_Cost),0,0),0))</f>
        <v>#N/A</v>
      </c>
      <c r="B452" s="288" t="e">
        <f>INDEX(TBL_Manually_added_tariffs[ActivityType],MATCH(Additional_Inv_Proc_Tariff_List,TBL_Manually_added_tariffs[Activity],0))</f>
        <v>#N/A</v>
      </c>
      <c r="C452" s="156"/>
      <c r="D452" s="156"/>
      <c r="E452" s="35" t="e">
        <f>INDEX(TBL_Manually_added_tariffs[Cost (IF INVESTIGATION)],MATCH(Additional_Inv_Proc_Tariff_List,TBL_Manually_added_tariffs[Activity],0))</f>
        <v>#N/A</v>
      </c>
      <c r="F452" s="181"/>
    </row>
    <row r="453" spans="1:6" hidden="1" x14ac:dyDescent="0.2">
      <c r="A453" s="38" t="e">
        <f>INDEX(Non_Tariff_Cost,MATCH(0,INDEX(COUNTIF($A$205:A452,Non_Tariff_Cost),0,0),0))</f>
        <v>#N/A</v>
      </c>
      <c r="B453" s="288" t="e">
        <f>INDEX(TBL_Manually_added_tariffs[ActivityType],MATCH(Additional_Inv_Proc_Tariff_List,TBL_Manually_added_tariffs[Activity],0))</f>
        <v>#N/A</v>
      </c>
      <c r="C453" s="156"/>
      <c r="D453" s="156"/>
      <c r="E453" s="35" t="e">
        <f>INDEX(TBL_Manually_added_tariffs[Cost (IF INVESTIGATION)],MATCH(Additional_Inv_Proc_Tariff_List,TBL_Manually_added_tariffs[Activity],0))</f>
        <v>#N/A</v>
      </c>
      <c r="F453" s="181"/>
    </row>
    <row r="454" spans="1:6" hidden="1" x14ac:dyDescent="0.2">
      <c r="A454" s="38" t="e">
        <f>INDEX(Non_Tariff_Cost,MATCH(0,INDEX(COUNTIF($A$205:A453,Non_Tariff_Cost),0,0),0))</f>
        <v>#N/A</v>
      </c>
      <c r="B454" s="288" t="e">
        <f>INDEX(TBL_Manually_added_tariffs[ActivityType],MATCH(Additional_Inv_Proc_Tariff_List,TBL_Manually_added_tariffs[Activity],0))</f>
        <v>#N/A</v>
      </c>
      <c r="C454" s="156"/>
      <c r="D454" s="156"/>
      <c r="E454" s="35" t="e">
        <f>INDEX(TBL_Manually_added_tariffs[Cost (IF INVESTIGATION)],MATCH(Additional_Inv_Proc_Tariff_List,TBL_Manually_added_tariffs[Activity],0))</f>
        <v>#N/A</v>
      </c>
      <c r="F454" s="181"/>
    </row>
    <row r="455" spans="1:6" hidden="1" x14ac:dyDescent="0.2">
      <c r="A455" s="38" t="e">
        <f>INDEX(Non_Tariff_Cost,MATCH(0,INDEX(COUNTIF($A$205:A454,Non_Tariff_Cost),0,0),0))</f>
        <v>#N/A</v>
      </c>
      <c r="B455" s="288" t="e">
        <f>INDEX(TBL_Manually_added_tariffs[ActivityType],MATCH(Additional_Inv_Proc_Tariff_List,TBL_Manually_added_tariffs[Activity],0))</f>
        <v>#N/A</v>
      </c>
      <c r="C455" s="156"/>
      <c r="D455" s="156"/>
      <c r="E455" s="35" t="e">
        <f>INDEX(TBL_Manually_added_tariffs[Cost (IF INVESTIGATION)],MATCH(Additional_Inv_Proc_Tariff_List,TBL_Manually_added_tariffs[Activity],0))</f>
        <v>#N/A</v>
      </c>
      <c r="F455" s="181"/>
    </row>
    <row r="456" spans="1:6" hidden="1" x14ac:dyDescent="0.2">
      <c r="A456" s="38" t="e">
        <f>INDEX(Non_Tariff_Cost,MATCH(0,INDEX(COUNTIF($A$205:A455,Non_Tariff_Cost),0,0),0))</f>
        <v>#N/A</v>
      </c>
      <c r="B456" s="288" t="e">
        <f>INDEX(TBL_Manually_added_tariffs[ActivityType],MATCH(Additional_Inv_Proc_Tariff_List,TBL_Manually_added_tariffs[Activity],0))</f>
        <v>#N/A</v>
      </c>
      <c r="C456" s="156"/>
      <c r="D456" s="156"/>
      <c r="E456" s="35" t="e">
        <f>INDEX(TBL_Manually_added_tariffs[Cost (IF INVESTIGATION)],MATCH(Additional_Inv_Proc_Tariff_List,TBL_Manually_added_tariffs[Activity],0))</f>
        <v>#N/A</v>
      </c>
      <c r="F456" s="181"/>
    </row>
    <row r="457" spans="1:6" hidden="1" x14ac:dyDescent="0.2">
      <c r="A457" s="38" t="e">
        <f>INDEX(Non_Tariff_Cost,MATCH(0,INDEX(COUNTIF($A$205:A456,Non_Tariff_Cost),0,0),0))</f>
        <v>#N/A</v>
      </c>
      <c r="B457" s="288" t="e">
        <f>INDEX(TBL_Manually_added_tariffs[ActivityType],MATCH(Additional_Inv_Proc_Tariff_List,TBL_Manually_added_tariffs[Activity],0))</f>
        <v>#N/A</v>
      </c>
      <c r="C457" s="156"/>
      <c r="D457" s="156"/>
      <c r="E457" s="35" t="e">
        <f>INDEX(TBL_Manually_added_tariffs[Cost (IF INVESTIGATION)],MATCH(Additional_Inv_Proc_Tariff_List,TBL_Manually_added_tariffs[Activity],0))</f>
        <v>#N/A</v>
      </c>
      <c r="F457" s="181"/>
    </row>
    <row r="458" spans="1:6" hidden="1" x14ac:dyDescent="0.2">
      <c r="A458" s="38" t="e">
        <f>INDEX(Non_Tariff_Cost,MATCH(0,INDEX(COUNTIF($A$205:A457,Non_Tariff_Cost),0,0),0))</f>
        <v>#N/A</v>
      </c>
      <c r="B458" s="288" t="e">
        <f>INDEX(TBL_Manually_added_tariffs[ActivityType],MATCH(Additional_Inv_Proc_Tariff_List,TBL_Manually_added_tariffs[Activity],0))</f>
        <v>#N/A</v>
      </c>
      <c r="C458" s="156"/>
      <c r="D458" s="156"/>
      <c r="E458" s="35" t="e">
        <f>INDEX(TBL_Manually_added_tariffs[Cost (IF INVESTIGATION)],MATCH(Additional_Inv_Proc_Tariff_List,TBL_Manually_added_tariffs[Activity],0))</f>
        <v>#N/A</v>
      </c>
      <c r="F458" s="181"/>
    </row>
    <row r="459" spans="1:6" hidden="1" x14ac:dyDescent="0.2">
      <c r="A459" s="38" t="e">
        <f>INDEX(Non_Tariff_Cost,MATCH(0,INDEX(COUNTIF($A$205:A458,Non_Tariff_Cost),0,0),0))</f>
        <v>#N/A</v>
      </c>
      <c r="B459" s="288" t="e">
        <f>INDEX(TBL_Manually_added_tariffs[ActivityType],MATCH(Additional_Inv_Proc_Tariff_List,TBL_Manually_added_tariffs[Activity],0))</f>
        <v>#N/A</v>
      </c>
      <c r="C459" s="156"/>
      <c r="D459" s="156"/>
      <c r="E459" s="35" t="e">
        <f>INDEX(TBL_Manually_added_tariffs[Cost (IF INVESTIGATION)],MATCH(Additional_Inv_Proc_Tariff_List,TBL_Manually_added_tariffs[Activity],0))</f>
        <v>#N/A</v>
      </c>
      <c r="F459" s="181"/>
    </row>
    <row r="460" spans="1:6" hidden="1" x14ac:dyDescent="0.2">
      <c r="A460" s="38" t="e">
        <f>INDEX(Non_Tariff_Cost,MATCH(0,INDEX(COUNTIF($A$205:A459,Non_Tariff_Cost),0,0),0))</f>
        <v>#N/A</v>
      </c>
      <c r="B460" s="288" t="e">
        <f>INDEX(TBL_Manually_added_tariffs[ActivityType],MATCH(Additional_Inv_Proc_Tariff_List,TBL_Manually_added_tariffs[Activity],0))</f>
        <v>#N/A</v>
      </c>
      <c r="C460" s="156"/>
      <c r="D460" s="156"/>
      <c r="E460" s="35" t="e">
        <f>INDEX(TBL_Manually_added_tariffs[Cost (IF INVESTIGATION)],MATCH(Additional_Inv_Proc_Tariff_List,TBL_Manually_added_tariffs[Activity],0))</f>
        <v>#N/A</v>
      </c>
      <c r="F460" s="181"/>
    </row>
    <row r="461" spans="1:6" hidden="1" x14ac:dyDescent="0.2">
      <c r="A461" s="38" t="e">
        <f>INDEX(Non_Tariff_Cost,MATCH(0,INDEX(COUNTIF($A$205:A460,Non_Tariff_Cost),0,0),0))</f>
        <v>#N/A</v>
      </c>
      <c r="B461" s="288" t="e">
        <f>INDEX(TBL_Manually_added_tariffs[ActivityType],MATCH(Additional_Inv_Proc_Tariff_List,TBL_Manually_added_tariffs[Activity],0))</f>
        <v>#N/A</v>
      </c>
      <c r="C461" s="156"/>
      <c r="D461" s="156"/>
      <c r="E461" s="35" t="e">
        <f>INDEX(TBL_Manually_added_tariffs[Cost (IF INVESTIGATION)],MATCH(Additional_Inv_Proc_Tariff_List,TBL_Manually_added_tariffs[Activity],0))</f>
        <v>#N/A</v>
      </c>
      <c r="F461" s="181"/>
    </row>
    <row r="462" spans="1:6" hidden="1" x14ac:dyDescent="0.2">
      <c r="A462" s="38" t="e">
        <f>INDEX(Non_Tariff_Cost,MATCH(0,INDEX(COUNTIF($A$205:A461,Non_Tariff_Cost),0,0),0))</f>
        <v>#N/A</v>
      </c>
      <c r="B462" s="288" t="e">
        <f>INDEX(TBL_Manually_added_tariffs[ActivityType],MATCH(Additional_Inv_Proc_Tariff_List,TBL_Manually_added_tariffs[Activity],0))</f>
        <v>#N/A</v>
      </c>
      <c r="C462" s="156"/>
      <c r="D462" s="156"/>
      <c r="E462" s="35" t="e">
        <f>INDEX(TBL_Manually_added_tariffs[Cost (IF INVESTIGATION)],MATCH(Additional_Inv_Proc_Tariff_List,TBL_Manually_added_tariffs[Activity],0))</f>
        <v>#N/A</v>
      </c>
      <c r="F462" s="181"/>
    </row>
    <row r="463" spans="1:6" hidden="1" x14ac:dyDescent="0.2">
      <c r="A463" s="38" t="e">
        <f>INDEX(Non_Tariff_Cost,MATCH(0,INDEX(COUNTIF($A$205:A462,Non_Tariff_Cost),0,0),0))</f>
        <v>#N/A</v>
      </c>
      <c r="B463" s="288" t="e">
        <f>INDEX(TBL_Manually_added_tariffs[ActivityType],MATCH(Additional_Inv_Proc_Tariff_List,TBL_Manually_added_tariffs[Activity],0))</f>
        <v>#N/A</v>
      </c>
      <c r="C463" s="156"/>
      <c r="D463" s="156"/>
      <c r="E463" s="35" t="e">
        <f>INDEX(TBL_Manually_added_tariffs[Cost (IF INVESTIGATION)],MATCH(Additional_Inv_Proc_Tariff_List,TBL_Manually_added_tariffs[Activity],0))</f>
        <v>#N/A</v>
      </c>
      <c r="F463" s="181"/>
    </row>
    <row r="464" spans="1:6" hidden="1" x14ac:dyDescent="0.2">
      <c r="A464" s="38" t="e">
        <f>INDEX(Non_Tariff_Cost,MATCH(0,INDEX(COUNTIF($A$205:A463,Non_Tariff_Cost),0,0),0))</f>
        <v>#N/A</v>
      </c>
      <c r="B464" s="288" t="e">
        <f>INDEX(TBL_Manually_added_tariffs[ActivityType],MATCH(Additional_Inv_Proc_Tariff_List,TBL_Manually_added_tariffs[Activity],0))</f>
        <v>#N/A</v>
      </c>
      <c r="C464" s="156"/>
      <c r="D464" s="156"/>
      <c r="E464" s="35" t="e">
        <f>INDEX(TBL_Manually_added_tariffs[Cost (IF INVESTIGATION)],MATCH(Additional_Inv_Proc_Tariff_List,TBL_Manually_added_tariffs[Activity],0))</f>
        <v>#N/A</v>
      </c>
      <c r="F464" s="181"/>
    </row>
    <row r="465" spans="1:6" hidden="1" x14ac:dyDescent="0.2">
      <c r="A465" s="38" t="e">
        <f>INDEX(Non_Tariff_Cost,MATCH(0,INDEX(COUNTIF($A$205:A464,Non_Tariff_Cost),0,0),0))</f>
        <v>#N/A</v>
      </c>
      <c r="B465" s="288" t="e">
        <f>INDEX(TBL_Manually_added_tariffs[ActivityType],MATCH(Additional_Inv_Proc_Tariff_List,TBL_Manually_added_tariffs[Activity],0))</f>
        <v>#N/A</v>
      </c>
      <c r="C465" s="156"/>
      <c r="D465" s="156"/>
      <c r="E465" s="35" t="e">
        <f>INDEX(TBL_Manually_added_tariffs[Cost (IF INVESTIGATION)],MATCH(Additional_Inv_Proc_Tariff_List,TBL_Manually_added_tariffs[Activity],0))</f>
        <v>#N/A</v>
      </c>
      <c r="F465" s="181"/>
    </row>
    <row r="466" spans="1:6" hidden="1" x14ac:dyDescent="0.2">
      <c r="A466" s="38" t="e">
        <f>INDEX(Non_Tariff_Cost,MATCH(0,INDEX(COUNTIF($A$205:A465,Non_Tariff_Cost),0,0),0))</f>
        <v>#N/A</v>
      </c>
      <c r="B466" s="288" t="e">
        <f>INDEX(TBL_Manually_added_tariffs[ActivityType],MATCH(Additional_Inv_Proc_Tariff_List,TBL_Manually_added_tariffs[Activity],0))</f>
        <v>#N/A</v>
      </c>
      <c r="C466" s="156"/>
      <c r="D466" s="156"/>
      <c r="E466" s="35" t="e">
        <f>INDEX(TBL_Manually_added_tariffs[Cost (IF INVESTIGATION)],MATCH(Additional_Inv_Proc_Tariff_List,TBL_Manually_added_tariffs[Activity],0))</f>
        <v>#N/A</v>
      </c>
      <c r="F466" s="181"/>
    </row>
    <row r="467" spans="1:6" hidden="1" x14ac:dyDescent="0.2">
      <c r="A467" s="38" t="e">
        <f>INDEX(Non_Tariff_Cost,MATCH(0,INDEX(COUNTIF($A$205:A466,Non_Tariff_Cost),0,0),0))</f>
        <v>#N/A</v>
      </c>
      <c r="B467" s="288" t="e">
        <f>INDEX(TBL_Manually_added_tariffs[ActivityType],MATCH(Additional_Inv_Proc_Tariff_List,TBL_Manually_added_tariffs[Activity],0))</f>
        <v>#N/A</v>
      </c>
      <c r="C467" s="156"/>
      <c r="D467" s="156"/>
      <c r="E467" s="35" t="e">
        <f>INDEX(TBL_Manually_added_tariffs[Cost (IF INVESTIGATION)],MATCH(Additional_Inv_Proc_Tariff_List,TBL_Manually_added_tariffs[Activity],0))</f>
        <v>#N/A</v>
      </c>
      <c r="F467" s="181"/>
    </row>
    <row r="468" spans="1:6" hidden="1" x14ac:dyDescent="0.2">
      <c r="A468" s="38" t="e">
        <f>INDEX(Non_Tariff_Cost,MATCH(0,INDEX(COUNTIF($A$205:A467,Non_Tariff_Cost),0,0),0))</f>
        <v>#N/A</v>
      </c>
      <c r="B468" s="288" t="e">
        <f>INDEX(TBL_Manually_added_tariffs[ActivityType],MATCH(Additional_Inv_Proc_Tariff_List,TBL_Manually_added_tariffs[Activity],0))</f>
        <v>#N/A</v>
      </c>
      <c r="C468" s="156"/>
      <c r="D468" s="156"/>
      <c r="E468" s="35" t="e">
        <f>INDEX(TBL_Manually_added_tariffs[Cost (IF INVESTIGATION)],MATCH(Additional_Inv_Proc_Tariff_List,TBL_Manually_added_tariffs[Activity],0))</f>
        <v>#N/A</v>
      </c>
      <c r="F468" s="181"/>
    </row>
    <row r="469" spans="1:6" hidden="1" x14ac:dyDescent="0.2">
      <c r="A469" s="38" t="e">
        <f>INDEX(Non_Tariff_Cost,MATCH(0,INDEX(COUNTIF($A$205:A468,Non_Tariff_Cost),0,0),0))</f>
        <v>#N/A</v>
      </c>
      <c r="B469" s="288" t="e">
        <f>INDEX(TBL_Manually_added_tariffs[ActivityType],MATCH(Additional_Inv_Proc_Tariff_List,TBL_Manually_added_tariffs[Activity],0))</f>
        <v>#N/A</v>
      </c>
      <c r="C469" s="156"/>
      <c r="D469" s="156"/>
      <c r="E469" s="35" t="e">
        <f>INDEX(TBL_Manually_added_tariffs[Cost (IF INVESTIGATION)],MATCH(Additional_Inv_Proc_Tariff_List,TBL_Manually_added_tariffs[Activity],0))</f>
        <v>#N/A</v>
      </c>
      <c r="F469" s="181"/>
    </row>
    <row r="470" spans="1:6" hidden="1" x14ac:dyDescent="0.2">
      <c r="A470" s="38" t="e">
        <f>INDEX(Non_Tariff_Cost,MATCH(0,INDEX(COUNTIF($A$205:A469,Non_Tariff_Cost),0,0),0))</f>
        <v>#N/A</v>
      </c>
      <c r="B470" s="288" t="e">
        <f>INDEX(TBL_Manually_added_tariffs[ActivityType],MATCH(Additional_Inv_Proc_Tariff_List,TBL_Manually_added_tariffs[Activity],0))</f>
        <v>#N/A</v>
      </c>
      <c r="C470" s="156"/>
      <c r="D470" s="156"/>
      <c r="E470" s="35" t="e">
        <f>INDEX(TBL_Manually_added_tariffs[Cost (IF INVESTIGATION)],MATCH(Additional_Inv_Proc_Tariff_List,TBL_Manually_added_tariffs[Activity],0))</f>
        <v>#N/A</v>
      </c>
      <c r="F470" s="181"/>
    </row>
    <row r="471" spans="1:6" hidden="1" x14ac:dyDescent="0.2">
      <c r="A471" s="38" t="e">
        <f>INDEX(Non_Tariff_Cost,MATCH(0,INDEX(COUNTIF($A$205:A470,Non_Tariff_Cost),0,0),0))</f>
        <v>#N/A</v>
      </c>
      <c r="B471" s="288" t="e">
        <f>INDEX(TBL_Manually_added_tariffs[ActivityType],MATCH(Additional_Inv_Proc_Tariff_List,TBL_Manually_added_tariffs[Activity],0))</f>
        <v>#N/A</v>
      </c>
      <c r="C471" s="156"/>
      <c r="D471" s="156"/>
      <c r="E471" s="35" t="e">
        <f>INDEX(TBL_Manually_added_tariffs[Cost (IF INVESTIGATION)],MATCH(Additional_Inv_Proc_Tariff_List,TBL_Manually_added_tariffs[Activity],0))</f>
        <v>#N/A</v>
      </c>
      <c r="F471" s="181"/>
    </row>
    <row r="472" spans="1:6" hidden="1" x14ac:dyDescent="0.2">
      <c r="A472" s="38" t="e">
        <f>INDEX(Non_Tariff_Cost,MATCH(0,INDEX(COUNTIF($A$205:A471,Non_Tariff_Cost),0,0),0))</f>
        <v>#N/A</v>
      </c>
      <c r="B472" s="288" t="e">
        <f>INDEX(TBL_Manually_added_tariffs[ActivityType],MATCH(Additional_Inv_Proc_Tariff_List,TBL_Manually_added_tariffs[Activity],0))</f>
        <v>#N/A</v>
      </c>
      <c r="C472" s="156"/>
      <c r="D472" s="156"/>
      <c r="E472" s="35" t="e">
        <f>INDEX(TBL_Manually_added_tariffs[Cost (IF INVESTIGATION)],MATCH(Additional_Inv_Proc_Tariff_List,TBL_Manually_added_tariffs[Activity],0))</f>
        <v>#N/A</v>
      </c>
      <c r="F472" s="181"/>
    </row>
    <row r="473" spans="1:6" hidden="1" x14ac:dyDescent="0.2">
      <c r="A473" s="38" t="e">
        <f>INDEX(Non_Tariff_Cost,MATCH(0,INDEX(COUNTIF($A$205:A472,Non_Tariff_Cost),0,0),0))</f>
        <v>#N/A</v>
      </c>
      <c r="B473" s="288" t="e">
        <f>INDEX(TBL_Manually_added_tariffs[ActivityType],MATCH(Additional_Inv_Proc_Tariff_List,TBL_Manually_added_tariffs[Activity],0))</f>
        <v>#N/A</v>
      </c>
      <c r="C473" s="156"/>
      <c r="D473" s="156"/>
      <c r="E473" s="35" t="e">
        <f>INDEX(TBL_Manually_added_tariffs[Cost (IF INVESTIGATION)],MATCH(Additional_Inv_Proc_Tariff_List,TBL_Manually_added_tariffs[Activity],0))</f>
        <v>#N/A</v>
      </c>
      <c r="F473" s="181"/>
    </row>
    <row r="474" spans="1:6" hidden="1" x14ac:dyDescent="0.2">
      <c r="A474" s="38" t="e">
        <f>INDEX(Non_Tariff_Cost,MATCH(0,INDEX(COUNTIF($A$205:A473,Non_Tariff_Cost),0,0),0))</f>
        <v>#N/A</v>
      </c>
      <c r="B474" s="288" t="e">
        <f>INDEX(TBL_Manually_added_tariffs[ActivityType],MATCH(Additional_Inv_Proc_Tariff_List,TBL_Manually_added_tariffs[Activity],0))</f>
        <v>#N/A</v>
      </c>
      <c r="C474" s="156"/>
      <c r="D474" s="156"/>
      <c r="E474" s="35" t="e">
        <f>INDEX(TBL_Manually_added_tariffs[Cost (IF INVESTIGATION)],MATCH(Additional_Inv_Proc_Tariff_List,TBL_Manually_added_tariffs[Activity],0))</f>
        <v>#N/A</v>
      </c>
      <c r="F474" s="181"/>
    </row>
    <row r="475" spans="1:6" hidden="1" x14ac:dyDescent="0.2">
      <c r="A475" s="38" t="e">
        <f>INDEX(Non_Tariff_Cost,MATCH(0,INDEX(COUNTIF($A$205:A474,Non_Tariff_Cost),0,0),0))</f>
        <v>#N/A</v>
      </c>
      <c r="B475" s="288" t="e">
        <f>INDEX(TBL_Manually_added_tariffs[ActivityType],MATCH(Additional_Inv_Proc_Tariff_List,TBL_Manually_added_tariffs[Activity],0))</f>
        <v>#N/A</v>
      </c>
      <c r="C475" s="156"/>
      <c r="D475" s="156"/>
      <c r="E475" s="35" t="e">
        <f>INDEX(TBL_Manually_added_tariffs[Cost (IF INVESTIGATION)],MATCH(Additional_Inv_Proc_Tariff_List,TBL_Manually_added_tariffs[Activity],0))</f>
        <v>#N/A</v>
      </c>
      <c r="F475" s="181"/>
    </row>
    <row r="476" spans="1:6" hidden="1" x14ac:dyDescent="0.2">
      <c r="A476" s="38" t="e">
        <f>INDEX(Non_Tariff_Cost,MATCH(0,INDEX(COUNTIF($A$205:A475,Non_Tariff_Cost),0,0),0))</f>
        <v>#N/A</v>
      </c>
      <c r="B476" s="288" t="e">
        <f>INDEX(TBL_Manually_added_tariffs[ActivityType],MATCH(Additional_Inv_Proc_Tariff_List,TBL_Manually_added_tariffs[Activity],0))</f>
        <v>#N/A</v>
      </c>
      <c r="C476" s="156"/>
      <c r="D476" s="156"/>
      <c r="E476" s="35" t="e">
        <f>INDEX(TBL_Manually_added_tariffs[Cost (IF INVESTIGATION)],MATCH(Additional_Inv_Proc_Tariff_List,TBL_Manually_added_tariffs[Activity],0))</f>
        <v>#N/A</v>
      </c>
      <c r="F476" s="181"/>
    </row>
    <row r="477" spans="1:6" hidden="1" x14ac:dyDescent="0.2">
      <c r="A477" s="38" t="e">
        <f>INDEX(Non_Tariff_Cost,MATCH(0,INDEX(COUNTIF($A$205:A476,Non_Tariff_Cost),0,0),0))</f>
        <v>#N/A</v>
      </c>
      <c r="B477" s="288" t="e">
        <f>INDEX(TBL_Manually_added_tariffs[ActivityType],MATCH(Additional_Inv_Proc_Tariff_List,TBL_Manually_added_tariffs[Activity],0))</f>
        <v>#N/A</v>
      </c>
      <c r="C477" s="156"/>
      <c r="D477" s="156"/>
      <c r="E477" s="35" t="e">
        <f>INDEX(TBL_Manually_added_tariffs[Cost (IF INVESTIGATION)],MATCH(Additional_Inv_Proc_Tariff_List,TBL_Manually_added_tariffs[Activity],0))</f>
        <v>#N/A</v>
      </c>
      <c r="F477" s="181"/>
    </row>
    <row r="478" spans="1:6" hidden="1" x14ac:dyDescent="0.2">
      <c r="A478" s="38" t="e">
        <f>INDEX(Non_Tariff_Cost,MATCH(0,INDEX(COUNTIF($A$205:A477,Non_Tariff_Cost),0,0),0))</f>
        <v>#N/A</v>
      </c>
      <c r="B478" s="288" t="e">
        <f>INDEX(TBL_Manually_added_tariffs[ActivityType],MATCH(Additional_Inv_Proc_Tariff_List,TBL_Manually_added_tariffs[Activity],0))</f>
        <v>#N/A</v>
      </c>
      <c r="C478" s="156"/>
      <c r="D478" s="156"/>
      <c r="E478" s="35" t="e">
        <f>INDEX(TBL_Manually_added_tariffs[Cost (IF INVESTIGATION)],MATCH(Additional_Inv_Proc_Tariff_List,TBL_Manually_added_tariffs[Activity],0))</f>
        <v>#N/A</v>
      </c>
      <c r="F478" s="181"/>
    </row>
    <row r="479" spans="1:6" hidden="1" x14ac:dyDescent="0.2">
      <c r="A479" s="38" t="e">
        <f>INDEX(Non_Tariff_Cost,MATCH(0,INDEX(COUNTIF($A$205:A478,Non_Tariff_Cost),0,0),0))</f>
        <v>#N/A</v>
      </c>
      <c r="B479" s="288" t="e">
        <f>INDEX(TBL_Manually_added_tariffs[ActivityType],MATCH(Additional_Inv_Proc_Tariff_List,TBL_Manually_added_tariffs[Activity],0))</f>
        <v>#N/A</v>
      </c>
      <c r="C479" s="156"/>
      <c r="D479" s="156"/>
      <c r="E479" s="35" t="e">
        <f>INDEX(TBL_Manually_added_tariffs[Cost (IF INVESTIGATION)],MATCH(Additional_Inv_Proc_Tariff_List,TBL_Manually_added_tariffs[Activity],0))</f>
        <v>#N/A</v>
      </c>
      <c r="F479" s="181"/>
    </row>
    <row r="480" spans="1:6" hidden="1" x14ac:dyDescent="0.2">
      <c r="A480" s="38" t="e">
        <f>INDEX(Non_Tariff_Cost,MATCH(0,INDEX(COUNTIF($A$205:A479,Non_Tariff_Cost),0,0),0))</f>
        <v>#N/A</v>
      </c>
      <c r="B480" s="288" t="e">
        <f>INDEX(TBL_Manually_added_tariffs[ActivityType],MATCH(Additional_Inv_Proc_Tariff_List,TBL_Manually_added_tariffs[Activity],0))</f>
        <v>#N/A</v>
      </c>
      <c r="C480" s="156"/>
      <c r="D480" s="156"/>
      <c r="E480" s="35" t="e">
        <f>INDEX(TBL_Manually_added_tariffs[Cost (IF INVESTIGATION)],MATCH(Additional_Inv_Proc_Tariff_List,TBL_Manually_added_tariffs[Activity],0))</f>
        <v>#N/A</v>
      </c>
      <c r="F480" s="181"/>
    </row>
    <row r="481" spans="1:6" hidden="1" x14ac:dyDescent="0.2">
      <c r="A481" s="38" t="e">
        <f>INDEX(Non_Tariff_Cost,MATCH(0,INDEX(COUNTIF($A$205:A480,Non_Tariff_Cost),0,0),0))</f>
        <v>#N/A</v>
      </c>
      <c r="B481" s="288" t="e">
        <f>INDEX(TBL_Manually_added_tariffs[ActivityType],MATCH(Additional_Inv_Proc_Tariff_List,TBL_Manually_added_tariffs[Activity],0))</f>
        <v>#N/A</v>
      </c>
      <c r="C481" s="156"/>
      <c r="D481" s="156"/>
      <c r="E481" s="35" t="e">
        <f>INDEX(TBL_Manually_added_tariffs[Cost (IF INVESTIGATION)],MATCH(Additional_Inv_Proc_Tariff_List,TBL_Manually_added_tariffs[Activity],0))</f>
        <v>#N/A</v>
      </c>
      <c r="F481" s="181"/>
    </row>
    <row r="482" spans="1:6" hidden="1" x14ac:dyDescent="0.2">
      <c r="A482" s="38" t="e">
        <f>INDEX(Non_Tariff_Cost,MATCH(0,INDEX(COUNTIF($A$205:A481,Non_Tariff_Cost),0,0),0))</f>
        <v>#N/A</v>
      </c>
      <c r="B482" s="288" t="e">
        <f>INDEX(TBL_Manually_added_tariffs[ActivityType],MATCH(Additional_Inv_Proc_Tariff_List,TBL_Manually_added_tariffs[Activity],0))</f>
        <v>#N/A</v>
      </c>
      <c r="C482" s="156"/>
      <c r="D482" s="156"/>
      <c r="E482" s="35" t="e">
        <f>INDEX(TBL_Manually_added_tariffs[Cost (IF INVESTIGATION)],MATCH(Additional_Inv_Proc_Tariff_List,TBL_Manually_added_tariffs[Activity],0))</f>
        <v>#N/A</v>
      </c>
      <c r="F482" s="181"/>
    </row>
    <row r="483" spans="1:6" hidden="1" x14ac:dyDescent="0.2">
      <c r="A483" s="38" t="e">
        <f>INDEX(Non_Tariff_Cost,MATCH(0,INDEX(COUNTIF($A$205:A482,Non_Tariff_Cost),0,0),0))</f>
        <v>#N/A</v>
      </c>
      <c r="B483" s="288" t="e">
        <f>INDEX(TBL_Manually_added_tariffs[ActivityType],MATCH(Additional_Inv_Proc_Tariff_List,TBL_Manually_added_tariffs[Activity],0))</f>
        <v>#N/A</v>
      </c>
      <c r="C483" s="156"/>
      <c r="D483" s="156"/>
      <c r="E483" s="35" t="e">
        <f>INDEX(TBL_Manually_added_tariffs[Cost (IF INVESTIGATION)],MATCH(Additional_Inv_Proc_Tariff_List,TBL_Manually_added_tariffs[Activity],0))</f>
        <v>#N/A</v>
      </c>
      <c r="F483" s="181"/>
    </row>
    <row r="484" spans="1:6" hidden="1" x14ac:dyDescent="0.2">
      <c r="A484" s="38" t="e">
        <f>INDEX(Non_Tariff_Cost,MATCH(0,INDEX(COUNTIF($A$205:A483,Non_Tariff_Cost),0,0),0))</f>
        <v>#N/A</v>
      </c>
      <c r="B484" s="288" t="e">
        <f>INDEX(TBL_Manually_added_tariffs[ActivityType],MATCH(Additional_Inv_Proc_Tariff_List,TBL_Manually_added_tariffs[Activity],0))</f>
        <v>#N/A</v>
      </c>
      <c r="C484" s="156"/>
      <c r="D484" s="156"/>
      <c r="E484" s="35" t="e">
        <f>INDEX(TBL_Manually_added_tariffs[Cost (IF INVESTIGATION)],MATCH(Additional_Inv_Proc_Tariff_List,TBL_Manually_added_tariffs[Activity],0))</f>
        <v>#N/A</v>
      </c>
      <c r="F484" s="181"/>
    </row>
    <row r="485" spans="1:6" hidden="1" x14ac:dyDescent="0.2">
      <c r="A485" s="38" t="e">
        <f>INDEX(Non_Tariff_Cost,MATCH(0,INDEX(COUNTIF($A$205:A484,Non_Tariff_Cost),0,0),0))</f>
        <v>#N/A</v>
      </c>
      <c r="B485" s="288" t="e">
        <f>INDEX(TBL_Manually_added_tariffs[ActivityType],MATCH(Additional_Inv_Proc_Tariff_List,TBL_Manually_added_tariffs[Activity],0))</f>
        <v>#N/A</v>
      </c>
      <c r="C485" s="156"/>
      <c r="D485" s="156"/>
      <c r="E485" s="35" t="e">
        <f>INDEX(TBL_Manually_added_tariffs[Cost (IF INVESTIGATION)],MATCH(Additional_Inv_Proc_Tariff_List,TBL_Manually_added_tariffs[Activity],0))</f>
        <v>#N/A</v>
      </c>
      <c r="F485" s="181"/>
    </row>
    <row r="486" spans="1:6" hidden="1" x14ac:dyDescent="0.2">
      <c r="A486" s="38" t="e">
        <f>INDEX(Non_Tariff_Cost,MATCH(0,INDEX(COUNTIF($A$205:A485,Non_Tariff_Cost),0,0),0))</f>
        <v>#N/A</v>
      </c>
      <c r="B486" s="288" t="e">
        <f>INDEX(TBL_Manually_added_tariffs[ActivityType],MATCH(Additional_Inv_Proc_Tariff_List,TBL_Manually_added_tariffs[Activity],0))</f>
        <v>#N/A</v>
      </c>
      <c r="C486" s="156"/>
      <c r="D486" s="156"/>
      <c r="E486" s="35" t="e">
        <f>INDEX(TBL_Manually_added_tariffs[Cost (IF INVESTIGATION)],MATCH(Additional_Inv_Proc_Tariff_List,TBL_Manually_added_tariffs[Activity],0))</f>
        <v>#N/A</v>
      </c>
      <c r="F486" s="181"/>
    </row>
    <row r="487" spans="1:6" hidden="1" x14ac:dyDescent="0.2">
      <c r="A487" s="38" t="e">
        <f>INDEX(Non_Tariff_Cost,MATCH(0,INDEX(COUNTIF($A$205:A486,Non_Tariff_Cost),0,0),0))</f>
        <v>#N/A</v>
      </c>
      <c r="B487" s="288" t="e">
        <f>INDEX(TBL_Manually_added_tariffs[ActivityType],MATCH(Additional_Inv_Proc_Tariff_List,TBL_Manually_added_tariffs[Activity],0))</f>
        <v>#N/A</v>
      </c>
      <c r="C487" s="156"/>
      <c r="D487" s="156"/>
      <c r="E487" s="35" t="e">
        <f>INDEX(TBL_Manually_added_tariffs[Cost (IF INVESTIGATION)],MATCH(Additional_Inv_Proc_Tariff_List,TBL_Manually_added_tariffs[Activity],0))</f>
        <v>#N/A</v>
      </c>
      <c r="F487" s="181"/>
    </row>
    <row r="488" spans="1:6" hidden="1" x14ac:dyDescent="0.2">
      <c r="A488" s="38" t="e">
        <f>INDEX(Non_Tariff_Cost,MATCH(0,INDEX(COUNTIF($A$205:A487,Non_Tariff_Cost),0,0),0))</f>
        <v>#N/A</v>
      </c>
      <c r="B488" s="288" t="e">
        <f>INDEX(TBL_Manually_added_tariffs[ActivityType],MATCH(Additional_Inv_Proc_Tariff_List,TBL_Manually_added_tariffs[Activity],0))</f>
        <v>#N/A</v>
      </c>
      <c r="C488" s="156"/>
      <c r="D488" s="156"/>
      <c r="E488" s="35" t="e">
        <f>INDEX(TBL_Manually_added_tariffs[Cost (IF INVESTIGATION)],MATCH(Additional_Inv_Proc_Tariff_List,TBL_Manually_added_tariffs[Activity],0))</f>
        <v>#N/A</v>
      </c>
      <c r="F488" s="181"/>
    </row>
    <row r="489" spans="1:6" hidden="1" x14ac:dyDescent="0.2">
      <c r="A489" s="38" t="e">
        <f>INDEX(Non_Tariff_Cost,MATCH(0,INDEX(COUNTIF($A$205:A488,Non_Tariff_Cost),0,0),0))</f>
        <v>#N/A</v>
      </c>
      <c r="B489" s="288" t="e">
        <f>INDEX(TBL_Manually_added_tariffs[ActivityType],MATCH(Additional_Inv_Proc_Tariff_List,TBL_Manually_added_tariffs[Activity],0))</f>
        <v>#N/A</v>
      </c>
      <c r="C489" s="156"/>
      <c r="D489" s="156"/>
      <c r="E489" s="35" t="e">
        <f>INDEX(TBL_Manually_added_tariffs[Cost (IF INVESTIGATION)],MATCH(Additional_Inv_Proc_Tariff_List,TBL_Manually_added_tariffs[Activity],0))</f>
        <v>#N/A</v>
      </c>
      <c r="F489" s="181"/>
    </row>
    <row r="490" spans="1:6" hidden="1" x14ac:dyDescent="0.2">
      <c r="A490" s="38" t="e">
        <f>INDEX(Non_Tariff_Cost,MATCH(0,INDEX(COUNTIF($A$205:A489,Non_Tariff_Cost),0,0),0))</f>
        <v>#N/A</v>
      </c>
      <c r="B490" s="288" t="e">
        <f>INDEX(TBL_Manually_added_tariffs[ActivityType],MATCH(Additional_Inv_Proc_Tariff_List,TBL_Manually_added_tariffs[Activity],0))</f>
        <v>#N/A</v>
      </c>
      <c r="C490" s="156"/>
      <c r="D490" s="156"/>
      <c r="E490" s="35" t="e">
        <f>INDEX(TBL_Manually_added_tariffs[Cost (IF INVESTIGATION)],MATCH(Additional_Inv_Proc_Tariff_List,TBL_Manually_added_tariffs[Activity],0))</f>
        <v>#N/A</v>
      </c>
      <c r="F490" s="181"/>
    </row>
    <row r="491" spans="1:6" hidden="1" x14ac:dyDescent="0.2">
      <c r="A491" s="38" t="e">
        <f>INDEX(Non_Tariff_Cost,MATCH(0,INDEX(COUNTIF($A$205:A490,Non_Tariff_Cost),0,0),0))</f>
        <v>#N/A</v>
      </c>
      <c r="B491" s="288" t="e">
        <f>INDEX(TBL_Manually_added_tariffs[ActivityType],MATCH(Additional_Inv_Proc_Tariff_List,TBL_Manually_added_tariffs[Activity],0))</f>
        <v>#N/A</v>
      </c>
      <c r="C491" s="156"/>
      <c r="D491" s="156"/>
      <c r="E491" s="35" t="e">
        <f>INDEX(TBL_Manually_added_tariffs[Cost (IF INVESTIGATION)],MATCH(Additional_Inv_Proc_Tariff_List,TBL_Manually_added_tariffs[Activity],0))</f>
        <v>#N/A</v>
      </c>
      <c r="F491" s="181"/>
    </row>
    <row r="492" spans="1:6" hidden="1" x14ac:dyDescent="0.2">
      <c r="A492" s="38" t="e">
        <f>INDEX(Non_Tariff_Cost,MATCH(0,INDEX(COUNTIF($A$205:A491,Non_Tariff_Cost),0,0),0))</f>
        <v>#N/A</v>
      </c>
      <c r="B492" s="288" t="e">
        <f>INDEX(TBL_Manually_added_tariffs[ActivityType],MATCH(Additional_Inv_Proc_Tariff_List,TBL_Manually_added_tariffs[Activity],0))</f>
        <v>#N/A</v>
      </c>
      <c r="C492" s="156"/>
      <c r="D492" s="156"/>
      <c r="E492" s="35" t="e">
        <f>INDEX(TBL_Manually_added_tariffs[Cost (IF INVESTIGATION)],MATCH(Additional_Inv_Proc_Tariff_List,TBL_Manually_added_tariffs[Activity],0))</f>
        <v>#N/A</v>
      </c>
      <c r="F492" s="181"/>
    </row>
    <row r="493" spans="1:6" hidden="1" x14ac:dyDescent="0.2">
      <c r="A493" s="38" t="e">
        <f>INDEX(Non_Tariff_Cost,MATCH(0,INDEX(COUNTIF($A$205:A492,Non_Tariff_Cost),0,0),0))</f>
        <v>#N/A</v>
      </c>
      <c r="B493" s="288" t="e">
        <f>INDEX(TBL_Manually_added_tariffs[ActivityType],MATCH(Additional_Inv_Proc_Tariff_List,TBL_Manually_added_tariffs[Activity],0))</f>
        <v>#N/A</v>
      </c>
      <c r="C493" s="156"/>
      <c r="D493" s="156"/>
      <c r="E493" s="35" t="e">
        <f>INDEX(TBL_Manually_added_tariffs[Cost (IF INVESTIGATION)],MATCH(Additional_Inv_Proc_Tariff_List,TBL_Manually_added_tariffs[Activity],0))</f>
        <v>#N/A</v>
      </c>
      <c r="F493" s="181"/>
    </row>
    <row r="494" spans="1:6" hidden="1" x14ac:dyDescent="0.2">
      <c r="A494" s="38" t="e">
        <f>INDEX(Non_Tariff_Cost,MATCH(0,INDEX(COUNTIF($A$205:A493,Non_Tariff_Cost),0,0),0))</f>
        <v>#N/A</v>
      </c>
      <c r="B494" s="288" t="e">
        <f>INDEX(TBL_Manually_added_tariffs[ActivityType],MATCH(Additional_Inv_Proc_Tariff_List,TBL_Manually_added_tariffs[Activity],0))</f>
        <v>#N/A</v>
      </c>
      <c r="C494" s="156"/>
      <c r="D494" s="156"/>
      <c r="E494" s="35" t="e">
        <f>INDEX(TBL_Manually_added_tariffs[Cost (IF INVESTIGATION)],MATCH(Additional_Inv_Proc_Tariff_List,TBL_Manually_added_tariffs[Activity],0))</f>
        <v>#N/A</v>
      </c>
      <c r="F494" s="181"/>
    </row>
    <row r="495" spans="1:6" hidden="1" x14ac:dyDescent="0.2">
      <c r="A495" s="38" t="e">
        <f>INDEX(Non_Tariff_Cost,MATCH(0,INDEX(COUNTIF($A$205:A494,Non_Tariff_Cost),0,0),0))</f>
        <v>#N/A</v>
      </c>
      <c r="B495" s="288" t="e">
        <f>INDEX(TBL_Manually_added_tariffs[ActivityType],MATCH(Additional_Inv_Proc_Tariff_List,TBL_Manually_added_tariffs[Activity],0))</f>
        <v>#N/A</v>
      </c>
      <c r="C495" s="156"/>
      <c r="D495" s="156"/>
      <c r="E495" s="35" t="e">
        <f>INDEX(TBL_Manually_added_tariffs[Cost (IF INVESTIGATION)],MATCH(Additional_Inv_Proc_Tariff_List,TBL_Manually_added_tariffs[Activity],0))</f>
        <v>#N/A</v>
      </c>
      <c r="F495" s="181"/>
    </row>
    <row r="496" spans="1:6" hidden="1" x14ac:dyDescent="0.2">
      <c r="A496" s="38" t="e">
        <f>INDEX(Non_Tariff_Cost,MATCH(0,INDEX(COUNTIF($A$205:A495,Non_Tariff_Cost),0,0),0))</f>
        <v>#N/A</v>
      </c>
      <c r="B496" s="288" t="e">
        <f>INDEX(TBL_Manually_added_tariffs[ActivityType],MATCH(Additional_Inv_Proc_Tariff_List,TBL_Manually_added_tariffs[Activity],0))</f>
        <v>#N/A</v>
      </c>
      <c r="C496" s="156"/>
      <c r="D496" s="156"/>
      <c r="E496" s="35" t="e">
        <f>INDEX(TBL_Manually_added_tariffs[Cost (IF INVESTIGATION)],MATCH(Additional_Inv_Proc_Tariff_List,TBL_Manually_added_tariffs[Activity],0))</f>
        <v>#N/A</v>
      </c>
      <c r="F496" s="181"/>
    </row>
    <row r="497" spans="1:6" hidden="1" x14ac:dyDescent="0.2">
      <c r="A497" s="38" t="e">
        <f>INDEX(Non_Tariff_Cost,MATCH(0,INDEX(COUNTIF($A$205:A496,Non_Tariff_Cost),0,0),0))</f>
        <v>#N/A</v>
      </c>
      <c r="B497" s="288" t="e">
        <f>INDEX(TBL_Manually_added_tariffs[ActivityType],MATCH(Additional_Inv_Proc_Tariff_List,TBL_Manually_added_tariffs[Activity],0))</f>
        <v>#N/A</v>
      </c>
      <c r="C497" s="156"/>
      <c r="D497" s="156"/>
      <c r="E497" s="35" t="e">
        <f>INDEX(TBL_Manually_added_tariffs[Cost (IF INVESTIGATION)],MATCH(Additional_Inv_Proc_Tariff_List,TBL_Manually_added_tariffs[Activity],0))</f>
        <v>#N/A</v>
      </c>
      <c r="F497" s="181"/>
    </row>
    <row r="498" spans="1:6" hidden="1" x14ac:dyDescent="0.2">
      <c r="A498" s="38" t="e">
        <f>INDEX(Non_Tariff_Cost,MATCH(0,INDEX(COUNTIF($A$205:A497,Non_Tariff_Cost),0,0),0))</f>
        <v>#N/A</v>
      </c>
      <c r="B498" s="288" t="e">
        <f>INDEX(TBL_Manually_added_tariffs[ActivityType],MATCH(Additional_Inv_Proc_Tariff_List,TBL_Manually_added_tariffs[Activity],0))</f>
        <v>#N/A</v>
      </c>
      <c r="C498" s="156"/>
      <c r="D498" s="156"/>
      <c r="E498" s="35" t="e">
        <f>INDEX(TBL_Manually_added_tariffs[Cost (IF INVESTIGATION)],MATCH(Additional_Inv_Proc_Tariff_List,TBL_Manually_added_tariffs[Activity],0))</f>
        <v>#N/A</v>
      </c>
      <c r="F498" s="181"/>
    </row>
    <row r="499" spans="1:6" hidden="1" x14ac:dyDescent="0.2">
      <c r="A499" s="38" t="e">
        <f>INDEX(Non_Tariff_Cost,MATCH(0,INDEX(COUNTIF($A$205:A498,Non_Tariff_Cost),0,0),0))</f>
        <v>#N/A</v>
      </c>
      <c r="B499" s="288" t="e">
        <f>INDEX(TBL_Manually_added_tariffs[ActivityType],MATCH(Additional_Inv_Proc_Tariff_List,TBL_Manually_added_tariffs[Activity],0))</f>
        <v>#N/A</v>
      </c>
      <c r="C499" s="156"/>
      <c r="D499" s="156"/>
      <c r="E499" s="35" t="e">
        <f>INDEX(TBL_Manually_added_tariffs[Cost (IF INVESTIGATION)],MATCH(Additional_Inv_Proc_Tariff_List,TBL_Manually_added_tariffs[Activity],0))</f>
        <v>#N/A</v>
      </c>
      <c r="F499" s="181"/>
    </row>
    <row r="500" spans="1:6" hidden="1" x14ac:dyDescent="0.2">
      <c r="A500" s="38" t="e">
        <f>INDEX(Non_Tariff_Cost,MATCH(0,INDEX(COUNTIF($A$205:A499,Non_Tariff_Cost),0,0),0))</f>
        <v>#N/A</v>
      </c>
      <c r="B500" s="288" t="e">
        <f>INDEX(TBL_Manually_added_tariffs[ActivityType],MATCH(Additional_Inv_Proc_Tariff_List,TBL_Manually_added_tariffs[Activity],0))</f>
        <v>#N/A</v>
      </c>
      <c r="C500" s="156"/>
      <c r="D500" s="156"/>
      <c r="E500" s="35" t="e">
        <f>INDEX(TBL_Manually_added_tariffs[Cost (IF INVESTIGATION)],MATCH(Additional_Inv_Proc_Tariff_List,TBL_Manually_added_tariffs[Activity],0))</f>
        <v>#N/A</v>
      </c>
      <c r="F500" s="181"/>
    </row>
    <row r="501" spans="1:6" hidden="1" x14ac:dyDescent="0.2">
      <c r="A501" s="38" t="e">
        <f>INDEX(Non_Tariff_Cost,MATCH(0,INDEX(COUNTIF($A$205:A500,Non_Tariff_Cost),0,0),0))</f>
        <v>#N/A</v>
      </c>
      <c r="B501" s="288" t="e">
        <f>INDEX(TBL_Manually_added_tariffs[ActivityType],MATCH(Additional_Inv_Proc_Tariff_List,TBL_Manually_added_tariffs[Activity],0))</f>
        <v>#N/A</v>
      </c>
      <c r="C501" s="156"/>
      <c r="D501" s="156"/>
      <c r="E501" s="35" t="e">
        <f>INDEX(TBL_Manually_added_tariffs[Cost (IF INVESTIGATION)],MATCH(Additional_Inv_Proc_Tariff_List,TBL_Manually_added_tariffs[Activity],0))</f>
        <v>#N/A</v>
      </c>
      <c r="F501" s="181"/>
    </row>
    <row r="502" spans="1:6" hidden="1" x14ac:dyDescent="0.2">
      <c r="A502" s="38" t="e">
        <f>INDEX(Non_Tariff_Cost,MATCH(0,INDEX(COUNTIF($A$205:A501,Non_Tariff_Cost),0,0),0))</f>
        <v>#N/A</v>
      </c>
      <c r="B502" s="288" t="e">
        <f>INDEX(TBL_Manually_added_tariffs[ActivityType],MATCH(Additional_Inv_Proc_Tariff_List,TBL_Manually_added_tariffs[Activity],0))</f>
        <v>#N/A</v>
      </c>
      <c r="C502" s="156"/>
      <c r="D502" s="156"/>
      <c r="E502" s="35" t="e">
        <f>INDEX(TBL_Manually_added_tariffs[Cost (IF INVESTIGATION)],MATCH(Additional_Inv_Proc_Tariff_List,TBL_Manually_added_tariffs[Activity],0))</f>
        <v>#N/A</v>
      </c>
      <c r="F502" s="181"/>
    </row>
    <row r="503" spans="1:6" hidden="1" x14ac:dyDescent="0.2">
      <c r="A503" s="38" t="e">
        <f>INDEX(Non_Tariff_Cost,MATCH(0,INDEX(COUNTIF($A$205:A502,Non_Tariff_Cost),0,0),0))</f>
        <v>#N/A</v>
      </c>
      <c r="B503" s="288" t="e">
        <f>INDEX(TBL_Manually_added_tariffs[ActivityType],MATCH(Additional_Inv_Proc_Tariff_List,TBL_Manually_added_tariffs[Activity],0))</f>
        <v>#N/A</v>
      </c>
      <c r="C503" s="156"/>
      <c r="D503" s="156"/>
      <c r="E503" s="35" t="e">
        <f>INDEX(TBL_Manually_added_tariffs[Cost (IF INVESTIGATION)],MATCH(Additional_Inv_Proc_Tariff_List,TBL_Manually_added_tariffs[Activity],0))</f>
        <v>#N/A</v>
      </c>
      <c r="F503" s="181"/>
    </row>
    <row r="504" spans="1:6" hidden="1" x14ac:dyDescent="0.2">
      <c r="A504" s="38" t="e">
        <f>INDEX(Non_Tariff_Cost,MATCH(0,INDEX(COUNTIF($A$205:A503,Non_Tariff_Cost),0,0),0))</f>
        <v>#N/A</v>
      </c>
      <c r="B504" s="288" t="e">
        <f>INDEX(TBL_Manually_added_tariffs[ActivityType],MATCH(Additional_Inv_Proc_Tariff_List,TBL_Manually_added_tariffs[Activity],0))</f>
        <v>#N/A</v>
      </c>
      <c r="C504" s="156"/>
      <c r="D504" s="156"/>
      <c r="E504" s="35" t="e">
        <f>INDEX(TBL_Manually_added_tariffs[Cost (IF INVESTIGATION)],MATCH(Additional_Inv_Proc_Tariff_List,TBL_Manually_added_tariffs[Activity],0))</f>
        <v>#N/A</v>
      </c>
      <c r="F504" s="181"/>
    </row>
    <row r="505" spans="1:6" hidden="1" x14ac:dyDescent="0.2">
      <c r="A505" s="38" t="e">
        <f>INDEX(Non_Tariff_Cost,MATCH(0,INDEX(COUNTIF($A$205:A504,Non_Tariff_Cost),0,0),0))</f>
        <v>#N/A</v>
      </c>
      <c r="B505" s="288" t="e">
        <f>INDEX(TBL_Manually_added_tariffs[ActivityType],MATCH(Additional_Inv_Proc_Tariff_List,TBL_Manually_added_tariffs[Activity],0))</f>
        <v>#N/A</v>
      </c>
      <c r="C505" s="156"/>
      <c r="D505" s="156"/>
      <c r="E505" s="35" t="e">
        <f>INDEX(TBL_Manually_added_tariffs[Cost (IF INVESTIGATION)],MATCH(Additional_Inv_Proc_Tariff_List,TBL_Manually_added_tariffs[Activity],0))</f>
        <v>#N/A</v>
      </c>
      <c r="F505" s="181"/>
    </row>
    <row r="506" spans="1:6" hidden="1" x14ac:dyDescent="0.2">
      <c r="A506" s="38" t="e">
        <f>INDEX(Non_Tariff_Cost,MATCH(0,INDEX(COUNTIF($A$205:A505,Non_Tariff_Cost),0,0),0))</f>
        <v>#N/A</v>
      </c>
      <c r="B506" s="288" t="e">
        <f>INDEX(TBL_Manually_added_tariffs[ActivityType],MATCH(Additional_Inv_Proc_Tariff_List,TBL_Manually_added_tariffs[Activity],0))</f>
        <v>#N/A</v>
      </c>
      <c r="C506" s="156"/>
      <c r="D506" s="156"/>
      <c r="E506" s="35" t="e">
        <f>INDEX(TBL_Manually_added_tariffs[Cost (IF INVESTIGATION)],MATCH(Additional_Inv_Proc_Tariff_List,TBL_Manually_added_tariffs[Activity],0))</f>
        <v>#N/A</v>
      </c>
      <c r="F506" s="181"/>
    </row>
    <row r="507" spans="1:6" hidden="1" x14ac:dyDescent="0.2">
      <c r="A507" s="38" t="e">
        <f>INDEX(Non_Tariff_Cost,MATCH(0,INDEX(COUNTIF($A$205:A506,Non_Tariff_Cost),0,0),0))</f>
        <v>#N/A</v>
      </c>
      <c r="B507" s="288" t="e">
        <f>INDEX(TBL_Manually_added_tariffs[ActivityType],MATCH(Additional_Inv_Proc_Tariff_List,TBL_Manually_added_tariffs[Activity],0))</f>
        <v>#N/A</v>
      </c>
      <c r="C507" s="156"/>
      <c r="D507" s="156"/>
      <c r="E507" s="35" t="e">
        <f>INDEX(TBL_Manually_added_tariffs[Cost (IF INVESTIGATION)],MATCH(Additional_Inv_Proc_Tariff_List,TBL_Manually_added_tariffs[Activity],0))</f>
        <v>#N/A</v>
      </c>
      <c r="F507" s="181"/>
    </row>
    <row r="508" spans="1:6" hidden="1" x14ac:dyDescent="0.2">
      <c r="A508" s="38" t="e">
        <f>INDEX(Non_Tariff_Cost,MATCH(0,INDEX(COUNTIF($A$205:A507,Non_Tariff_Cost),0,0),0))</f>
        <v>#N/A</v>
      </c>
      <c r="B508" s="288" t="e">
        <f>INDEX(TBL_Manually_added_tariffs[ActivityType],MATCH(Additional_Inv_Proc_Tariff_List,TBL_Manually_added_tariffs[Activity],0))</f>
        <v>#N/A</v>
      </c>
      <c r="C508" s="156"/>
      <c r="D508" s="156"/>
      <c r="E508" s="35" t="e">
        <f>INDEX(TBL_Manually_added_tariffs[Cost (IF INVESTIGATION)],MATCH(Additional_Inv_Proc_Tariff_List,TBL_Manually_added_tariffs[Activity],0))</f>
        <v>#N/A</v>
      </c>
      <c r="F508" s="181"/>
    </row>
    <row r="509" spans="1:6" hidden="1" x14ac:dyDescent="0.2">
      <c r="A509" s="38" t="e">
        <f>INDEX(Non_Tariff_Cost,MATCH(0,INDEX(COUNTIF($A$205:A508,Non_Tariff_Cost),0,0),0))</f>
        <v>#N/A</v>
      </c>
      <c r="B509" s="288" t="e">
        <f>INDEX(TBL_Manually_added_tariffs[ActivityType],MATCH(Additional_Inv_Proc_Tariff_List,TBL_Manually_added_tariffs[Activity],0))</f>
        <v>#N/A</v>
      </c>
      <c r="C509" s="156"/>
      <c r="D509" s="156"/>
      <c r="E509" s="35" t="e">
        <f>INDEX(TBL_Manually_added_tariffs[Cost (IF INVESTIGATION)],MATCH(Additional_Inv_Proc_Tariff_List,TBL_Manually_added_tariffs[Activity],0))</f>
        <v>#N/A</v>
      </c>
      <c r="F509" s="181"/>
    </row>
    <row r="510" spans="1:6" hidden="1" x14ac:dyDescent="0.2">
      <c r="A510" s="38" t="e">
        <f>INDEX(Non_Tariff_Cost,MATCH(0,INDEX(COUNTIF($A$205:A509,Non_Tariff_Cost),0,0),0))</f>
        <v>#N/A</v>
      </c>
      <c r="B510" s="288" t="e">
        <f>INDEX(TBL_Manually_added_tariffs[ActivityType],MATCH(Additional_Inv_Proc_Tariff_List,TBL_Manually_added_tariffs[Activity],0))</f>
        <v>#N/A</v>
      </c>
      <c r="C510" s="156"/>
      <c r="D510" s="156"/>
      <c r="E510" s="35" t="e">
        <f>INDEX(TBL_Manually_added_tariffs[Cost (IF INVESTIGATION)],MATCH(Additional_Inv_Proc_Tariff_List,TBL_Manually_added_tariffs[Activity],0))</f>
        <v>#N/A</v>
      </c>
      <c r="F510" s="181"/>
    </row>
    <row r="511" spans="1:6" hidden="1" x14ac:dyDescent="0.2">
      <c r="A511" s="38" t="e">
        <f>INDEX(Non_Tariff_Cost,MATCH(0,INDEX(COUNTIF($A$205:A510,Non_Tariff_Cost),0,0),0))</f>
        <v>#N/A</v>
      </c>
      <c r="B511" s="288" t="e">
        <f>INDEX(TBL_Manually_added_tariffs[ActivityType],MATCH(Additional_Inv_Proc_Tariff_List,TBL_Manually_added_tariffs[Activity],0))</f>
        <v>#N/A</v>
      </c>
      <c r="C511" s="156"/>
      <c r="D511" s="156"/>
      <c r="E511" s="35" t="e">
        <f>INDEX(TBL_Manually_added_tariffs[Cost (IF INVESTIGATION)],MATCH(Additional_Inv_Proc_Tariff_List,TBL_Manually_added_tariffs[Activity],0))</f>
        <v>#N/A</v>
      </c>
      <c r="F511" s="181"/>
    </row>
    <row r="512" spans="1:6" hidden="1" x14ac:dyDescent="0.2">
      <c r="A512" s="38" t="e">
        <f>INDEX(Non_Tariff_Cost,MATCH(0,INDEX(COUNTIF($A$205:A511,Non_Tariff_Cost),0,0),0))</f>
        <v>#N/A</v>
      </c>
      <c r="B512" s="288" t="e">
        <f>INDEX(TBL_Manually_added_tariffs[ActivityType],MATCH(Additional_Inv_Proc_Tariff_List,TBL_Manually_added_tariffs[Activity],0))</f>
        <v>#N/A</v>
      </c>
      <c r="C512" s="156"/>
      <c r="D512" s="156"/>
      <c r="E512" s="35" t="e">
        <f>INDEX(TBL_Manually_added_tariffs[Cost (IF INVESTIGATION)],MATCH(Additional_Inv_Proc_Tariff_List,TBL_Manually_added_tariffs[Activity],0))</f>
        <v>#N/A</v>
      </c>
      <c r="F512" s="181"/>
    </row>
    <row r="513" spans="1:6" hidden="1" x14ac:dyDescent="0.2">
      <c r="A513" s="38" t="e">
        <f>INDEX(Non_Tariff_Cost,MATCH(0,INDEX(COUNTIF($A$205:A512,Non_Tariff_Cost),0,0),0))</f>
        <v>#N/A</v>
      </c>
      <c r="B513" s="288" t="e">
        <f>INDEX(TBL_Manually_added_tariffs[ActivityType],MATCH(Additional_Inv_Proc_Tariff_List,TBL_Manually_added_tariffs[Activity],0))</f>
        <v>#N/A</v>
      </c>
      <c r="C513" s="156"/>
      <c r="D513" s="156"/>
      <c r="E513" s="35" t="e">
        <f>INDEX(TBL_Manually_added_tariffs[Cost (IF INVESTIGATION)],MATCH(Additional_Inv_Proc_Tariff_List,TBL_Manually_added_tariffs[Activity],0))</f>
        <v>#N/A</v>
      </c>
      <c r="F513" s="181"/>
    </row>
    <row r="514" spans="1:6" hidden="1" x14ac:dyDescent="0.2">
      <c r="A514" s="38" t="e">
        <f>INDEX(Non_Tariff_Cost,MATCH(0,INDEX(COUNTIF($A$205:A513,Non_Tariff_Cost),0,0),0))</f>
        <v>#N/A</v>
      </c>
      <c r="B514" s="288" t="e">
        <f>INDEX(TBL_Manually_added_tariffs[ActivityType],MATCH(Additional_Inv_Proc_Tariff_List,TBL_Manually_added_tariffs[Activity],0))</f>
        <v>#N/A</v>
      </c>
      <c r="C514" s="156"/>
      <c r="D514" s="156"/>
      <c r="E514" s="35" t="e">
        <f>INDEX(TBL_Manually_added_tariffs[Cost (IF INVESTIGATION)],MATCH(Additional_Inv_Proc_Tariff_List,TBL_Manually_added_tariffs[Activity],0))</f>
        <v>#N/A</v>
      </c>
      <c r="F514" s="181"/>
    </row>
    <row r="515" spans="1:6" hidden="1" x14ac:dyDescent="0.2">
      <c r="A515" s="38" t="e">
        <f>INDEX(Non_Tariff_Cost,MATCH(0,INDEX(COUNTIF($A$205:A514,Non_Tariff_Cost),0,0),0))</f>
        <v>#N/A</v>
      </c>
      <c r="B515" s="288" t="e">
        <f>INDEX(TBL_Manually_added_tariffs[ActivityType],MATCH(Additional_Inv_Proc_Tariff_List,TBL_Manually_added_tariffs[Activity],0))</f>
        <v>#N/A</v>
      </c>
      <c r="C515" s="156"/>
      <c r="D515" s="156"/>
      <c r="E515" s="35" t="e">
        <f>INDEX(TBL_Manually_added_tariffs[Cost (IF INVESTIGATION)],MATCH(Additional_Inv_Proc_Tariff_List,TBL_Manually_added_tariffs[Activity],0))</f>
        <v>#N/A</v>
      </c>
      <c r="F515" s="181"/>
    </row>
    <row r="516" spans="1:6" hidden="1" x14ac:dyDescent="0.2">
      <c r="A516" s="38" t="e">
        <f>INDEX(Non_Tariff_Cost,MATCH(0,INDEX(COUNTIF($A$205:A515,Non_Tariff_Cost),0,0),0))</f>
        <v>#N/A</v>
      </c>
      <c r="B516" s="288" t="e">
        <f>INDEX(TBL_Manually_added_tariffs[ActivityType],MATCH(Additional_Inv_Proc_Tariff_List,TBL_Manually_added_tariffs[Activity],0))</f>
        <v>#N/A</v>
      </c>
      <c r="C516" s="156"/>
      <c r="D516" s="156"/>
      <c r="E516" s="35" t="e">
        <f>INDEX(TBL_Manually_added_tariffs[Cost (IF INVESTIGATION)],MATCH(Additional_Inv_Proc_Tariff_List,TBL_Manually_added_tariffs[Activity],0))</f>
        <v>#N/A</v>
      </c>
      <c r="F516" s="181"/>
    </row>
    <row r="517" spans="1:6" hidden="1" x14ac:dyDescent="0.2">
      <c r="A517" s="38" t="e">
        <f>INDEX(Non_Tariff_Cost,MATCH(0,INDEX(COUNTIF($A$205:A516,Non_Tariff_Cost),0,0),0))</f>
        <v>#N/A</v>
      </c>
      <c r="B517" s="288" t="e">
        <f>INDEX(TBL_Manually_added_tariffs[ActivityType],MATCH(Additional_Inv_Proc_Tariff_List,TBL_Manually_added_tariffs[Activity],0))</f>
        <v>#N/A</v>
      </c>
      <c r="C517" s="156"/>
      <c r="D517" s="156"/>
      <c r="E517" s="35" t="e">
        <f>INDEX(TBL_Manually_added_tariffs[Cost (IF INVESTIGATION)],MATCH(Additional_Inv_Proc_Tariff_List,TBL_Manually_added_tariffs[Activity],0))</f>
        <v>#N/A</v>
      </c>
      <c r="F517" s="181"/>
    </row>
    <row r="518" spans="1:6" hidden="1" x14ac:dyDescent="0.2">
      <c r="A518" s="38" t="e">
        <f>INDEX(Non_Tariff_Cost,MATCH(0,INDEX(COUNTIF($A$205:A517,Non_Tariff_Cost),0,0),0))</f>
        <v>#N/A</v>
      </c>
      <c r="B518" s="288" t="e">
        <f>INDEX(TBL_Manually_added_tariffs[ActivityType],MATCH(Additional_Inv_Proc_Tariff_List,TBL_Manually_added_tariffs[Activity],0))</f>
        <v>#N/A</v>
      </c>
      <c r="C518" s="156"/>
      <c r="D518" s="156"/>
      <c r="E518" s="35" t="e">
        <f>INDEX(TBL_Manually_added_tariffs[Cost (IF INVESTIGATION)],MATCH(Additional_Inv_Proc_Tariff_List,TBL_Manually_added_tariffs[Activity],0))</f>
        <v>#N/A</v>
      </c>
      <c r="F518" s="181"/>
    </row>
    <row r="519" spans="1:6" hidden="1" x14ac:dyDescent="0.2">
      <c r="A519" s="38" t="e">
        <f>INDEX(Non_Tariff_Cost,MATCH(0,INDEX(COUNTIF($A$205:A518,Non_Tariff_Cost),0,0),0))</f>
        <v>#N/A</v>
      </c>
      <c r="B519" s="288" t="e">
        <f>INDEX(TBL_Manually_added_tariffs[ActivityType],MATCH(Additional_Inv_Proc_Tariff_List,TBL_Manually_added_tariffs[Activity],0))</f>
        <v>#N/A</v>
      </c>
      <c r="C519" s="156"/>
      <c r="D519" s="156"/>
      <c r="E519" s="35" t="e">
        <f>INDEX(TBL_Manually_added_tariffs[Cost (IF INVESTIGATION)],MATCH(Additional_Inv_Proc_Tariff_List,TBL_Manually_added_tariffs[Activity],0))</f>
        <v>#N/A</v>
      </c>
      <c r="F519" s="181"/>
    </row>
    <row r="520" spans="1:6" hidden="1" x14ac:dyDescent="0.2">
      <c r="A520" s="38" t="e">
        <f>INDEX(Non_Tariff_Cost,MATCH(0,INDEX(COUNTIF($A$205:A519,Non_Tariff_Cost),0,0),0))</f>
        <v>#N/A</v>
      </c>
      <c r="B520" s="288" t="e">
        <f>INDEX(TBL_Manually_added_tariffs[ActivityType],MATCH(Additional_Inv_Proc_Tariff_List,TBL_Manually_added_tariffs[Activity],0))</f>
        <v>#N/A</v>
      </c>
      <c r="C520" s="156"/>
      <c r="D520" s="156"/>
      <c r="E520" s="35" t="e">
        <f>INDEX(TBL_Manually_added_tariffs[Cost (IF INVESTIGATION)],MATCH(Additional_Inv_Proc_Tariff_List,TBL_Manually_added_tariffs[Activity],0))</f>
        <v>#N/A</v>
      </c>
      <c r="F520" s="181"/>
    </row>
    <row r="521" spans="1:6" hidden="1" x14ac:dyDescent="0.2">
      <c r="A521" s="38" t="e">
        <f>INDEX(Non_Tariff_Cost,MATCH(0,INDEX(COUNTIF($A$205:A520,Non_Tariff_Cost),0,0),0))</f>
        <v>#N/A</v>
      </c>
      <c r="B521" s="288" t="e">
        <f>INDEX(TBL_Manually_added_tariffs[ActivityType],MATCH(Additional_Inv_Proc_Tariff_List,TBL_Manually_added_tariffs[Activity],0))</f>
        <v>#N/A</v>
      </c>
      <c r="C521" s="156"/>
      <c r="D521" s="156"/>
      <c r="E521" s="35" t="e">
        <f>INDEX(TBL_Manually_added_tariffs[Cost (IF INVESTIGATION)],MATCH(Additional_Inv_Proc_Tariff_List,TBL_Manually_added_tariffs[Activity],0))</f>
        <v>#N/A</v>
      </c>
      <c r="F521" s="181"/>
    </row>
    <row r="522" spans="1:6" hidden="1" x14ac:dyDescent="0.2">
      <c r="A522" s="38" t="e">
        <f>INDEX(Non_Tariff_Cost,MATCH(0,INDEX(COUNTIF($A$205:A521,Non_Tariff_Cost),0,0),0))</f>
        <v>#N/A</v>
      </c>
      <c r="B522" s="288" t="e">
        <f>INDEX(TBL_Manually_added_tariffs[ActivityType],MATCH(Additional_Inv_Proc_Tariff_List,TBL_Manually_added_tariffs[Activity],0))</f>
        <v>#N/A</v>
      </c>
      <c r="C522" s="156"/>
      <c r="D522" s="156"/>
      <c r="E522" s="35" t="e">
        <f>INDEX(TBL_Manually_added_tariffs[Cost (IF INVESTIGATION)],MATCH(Additional_Inv_Proc_Tariff_List,TBL_Manually_added_tariffs[Activity],0))</f>
        <v>#N/A</v>
      </c>
      <c r="F522" s="181"/>
    </row>
    <row r="523" spans="1:6" hidden="1" x14ac:dyDescent="0.2">
      <c r="A523" s="38" t="e">
        <f>INDEX(Non_Tariff_Cost,MATCH(0,INDEX(COUNTIF($A$205:A522,Non_Tariff_Cost),0,0),0))</f>
        <v>#N/A</v>
      </c>
      <c r="B523" s="288" t="e">
        <f>INDEX(TBL_Manually_added_tariffs[ActivityType],MATCH(Additional_Inv_Proc_Tariff_List,TBL_Manually_added_tariffs[Activity],0))</f>
        <v>#N/A</v>
      </c>
      <c r="C523" s="156"/>
      <c r="D523" s="156"/>
      <c r="E523" s="35" t="e">
        <f>INDEX(TBL_Manually_added_tariffs[Cost (IF INVESTIGATION)],MATCH(Additional_Inv_Proc_Tariff_List,TBL_Manually_added_tariffs[Activity],0))</f>
        <v>#N/A</v>
      </c>
      <c r="F523" s="181"/>
    </row>
    <row r="524" spans="1:6" hidden="1" x14ac:dyDescent="0.2">
      <c r="A524" s="38" t="e">
        <f>INDEX(Non_Tariff_Cost,MATCH(0,INDEX(COUNTIF($A$205:A523,Non_Tariff_Cost),0,0),0))</f>
        <v>#N/A</v>
      </c>
      <c r="B524" s="288" t="e">
        <f>INDEX(TBL_Manually_added_tariffs[ActivityType],MATCH(Additional_Inv_Proc_Tariff_List,TBL_Manually_added_tariffs[Activity],0))</f>
        <v>#N/A</v>
      </c>
      <c r="C524" s="156"/>
      <c r="D524" s="156"/>
      <c r="E524" s="35" t="e">
        <f>INDEX(TBL_Manually_added_tariffs[Cost (IF INVESTIGATION)],MATCH(Additional_Inv_Proc_Tariff_List,TBL_Manually_added_tariffs[Activity],0))</f>
        <v>#N/A</v>
      </c>
      <c r="F524" s="181"/>
    </row>
    <row r="525" spans="1:6" hidden="1" x14ac:dyDescent="0.2">
      <c r="A525" s="38" t="e">
        <f>INDEX(Non_Tariff_Cost,MATCH(0,INDEX(COUNTIF($A$205:A524,Non_Tariff_Cost),0,0),0))</f>
        <v>#N/A</v>
      </c>
      <c r="B525" s="288" t="e">
        <f>INDEX(TBL_Manually_added_tariffs[ActivityType],MATCH(Additional_Inv_Proc_Tariff_List,TBL_Manually_added_tariffs[Activity],0))</f>
        <v>#N/A</v>
      </c>
      <c r="C525" s="156"/>
      <c r="D525" s="156"/>
      <c r="E525" s="35" t="e">
        <f>INDEX(TBL_Manually_added_tariffs[Cost (IF INVESTIGATION)],MATCH(Additional_Inv_Proc_Tariff_List,TBL_Manually_added_tariffs[Activity],0))</f>
        <v>#N/A</v>
      </c>
      <c r="F525" s="181"/>
    </row>
    <row r="526" spans="1:6" hidden="1" x14ac:dyDescent="0.2">
      <c r="A526" s="38" t="e">
        <f>INDEX(Non_Tariff_Cost,MATCH(0,INDEX(COUNTIF($A$205:A525,Non_Tariff_Cost),0,0),0))</f>
        <v>#N/A</v>
      </c>
      <c r="B526" s="288" t="e">
        <f>INDEX(TBL_Manually_added_tariffs[ActivityType],MATCH(Additional_Inv_Proc_Tariff_List,TBL_Manually_added_tariffs[Activity],0))</f>
        <v>#N/A</v>
      </c>
      <c r="C526" s="156"/>
      <c r="D526" s="156"/>
      <c r="E526" s="35" t="e">
        <f>INDEX(TBL_Manually_added_tariffs[Cost (IF INVESTIGATION)],MATCH(Additional_Inv_Proc_Tariff_List,TBL_Manually_added_tariffs[Activity],0))</f>
        <v>#N/A</v>
      </c>
      <c r="F526" s="181"/>
    </row>
    <row r="527" spans="1:6" hidden="1" x14ac:dyDescent="0.2">
      <c r="A527" s="38" t="e">
        <f>INDEX(Non_Tariff_Cost,MATCH(0,INDEX(COUNTIF($A$205:A526,Non_Tariff_Cost),0,0),0))</f>
        <v>#N/A</v>
      </c>
      <c r="B527" s="288" t="e">
        <f>INDEX(TBL_Manually_added_tariffs[ActivityType],MATCH(Additional_Inv_Proc_Tariff_List,TBL_Manually_added_tariffs[Activity],0))</f>
        <v>#N/A</v>
      </c>
      <c r="C527" s="156"/>
      <c r="D527" s="156"/>
      <c r="E527" s="35" t="e">
        <f>INDEX(TBL_Manually_added_tariffs[Cost (IF INVESTIGATION)],MATCH(Additional_Inv_Proc_Tariff_List,TBL_Manually_added_tariffs[Activity],0))</f>
        <v>#N/A</v>
      </c>
      <c r="F527" s="181"/>
    </row>
    <row r="528" spans="1:6" hidden="1" x14ac:dyDescent="0.2">
      <c r="A528" s="38" t="e">
        <f>INDEX(Non_Tariff_Cost,MATCH(0,INDEX(COUNTIF($A$205:A527,Non_Tariff_Cost),0,0),0))</f>
        <v>#N/A</v>
      </c>
      <c r="B528" s="288" t="e">
        <f>INDEX(TBL_Manually_added_tariffs[ActivityType],MATCH(Additional_Inv_Proc_Tariff_List,TBL_Manually_added_tariffs[Activity],0))</f>
        <v>#N/A</v>
      </c>
      <c r="C528" s="156"/>
      <c r="D528" s="156"/>
      <c r="E528" s="35" t="e">
        <f>INDEX(TBL_Manually_added_tariffs[Cost (IF INVESTIGATION)],MATCH(Additional_Inv_Proc_Tariff_List,TBL_Manually_added_tariffs[Activity],0))</f>
        <v>#N/A</v>
      </c>
      <c r="F528" s="181"/>
    </row>
    <row r="529" spans="1:6" hidden="1" x14ac:dyDescent="0.2">
      <c r="A529" s="38" t="e">
        <f>INDEX(Non_Tariff_Cost,MATCH(0,INDEX(COUNTIF($A$205:A528,Non_Tariff_Cost),0,0),0))</f>
        <v>#N/A</v>
      </c>
      <c r="B529" s="288" t="e">
        <f>INDEX(TBL_Manually_added_tariffs[ActivityType],MATCH(Additional_Inv_Proc_Tariff_List,TBL_Manually_added_tariffs[Activity],0))</f>
        <v>#N/A</v>
      </c>
      <c r="C529" s="156"/>
      <c r="D529" s="156"/>
      <c r="E529" s="35" t="e">
        <f>INDEX(TBL_Manually_added_tariffs[Cost (IF INVESTIGATION)],MATCH(Additional_Inv_Proc_Tariff_List,TBL_Manually_added_tariffs[Activity],0))</f>
        <v>#N/A</v>
      </c>
      <c r="F529" s="181"/>
    </row>
    <row r="530" spans="1:6" hidden="1" x14ac:dyDescent="0.2">
      <c r="A530" s="38" t="e">
        <f>INDEX(Non_Tariff_Cost,MATCH(0,INDEX(COUNTIF($A$205:A529,Non_Tariff_Cost),0,0),0))</f>
        <v>#N/A</v>
      </c>
      <c r="B530" s="288" t="e">
        <f>INDEX(TBL_Manually_added_tariffs[ActivityType],MATCH(Additional_Inv_Proc_Tariff_List,TBL_Manually_added_tariffs[Activity],0))</f>
        <v>#N/A</v>
      </c>
      <c r="C530" s="156"/>
      <c r="D530" s="156"/>
      <c r="E530" s="35" t="e">
        <f>INDEX(TBL_Manually_added_tariffs[Cost (IF INVESTIGATION)],MATCH(Additional_Inv_Proc_Tariff_List,TBL_Manually_added_tariffs[Activity],0))</f>
        <v>#N/A</v>
      </c>
      <c r="F530" s="181"/>
    </row>
    <row r="531" spans="1:6" hidden="1" x14ac:dyDescent="0.2">
      <c r="A531" s="38" t="e">
        <f>INDEX(Non_Tariff_Cost,MATCH(0,INDEX(COUNTIF($A$205:A530,Non_Tariff_Cost),0,0),0))</f>
        <v>#N/A</v>
      </c>
      <c r="B531" s="288" t="e">
        <f>INDEX(TBL_Manually_added_tariffs[ActivityType],MATCH(Additional_Inv_Proc_Tariff_List,TBL_Manually_added_tariffs[Activity],0))</f>
        <v>#N/A</v>
      </c>
      <c r="C531" s="156"/>
      <c r="D531" s="156"/>
      <c r="E531" s="35" t="e">
        <f>INDEX(TBL_Manually_added_tariffs[Cost (IF INVESTIGATION)],MATCH(Additional_Inv_Proc_Tariff_List,TBL_Manually_added_tariffs[Activity],0))</f>
        <v>#N/A</v>
      </c>
      <c r="F531" s="181"/>
    </row>
    <row r="532" spans="1:6" hidden="1" x14ac:dyDescent="0.2">
      <c r="A532" s="38" t="e">
        <f>INDEX(Non_Tariff_Cost,MATCH(0,INDEX(COUNTIF($A$205:A531,Non_Tariff_Cost),0,0),0))</f>
        <v>#N/A</v>
      </c>
      <c r="B532" s="288" t="e">
        <f>INDEX(TBL_Manually_added_tariffs[ActivityType],MATCH(Additional_Inv_Proc_Tariff_List,TBL_Manually_added_tariffs[Activity],0))</f>
        <v>#N/A</v>
      </c>
      <c r="C532" s="156"/>
      <c r="D532" s="156"/>
      <c r="E532" s="35" t="e">
        <f>INDEX(TBL_Manually_added_tariffs[Cost (IF INVESTIGATION)],MATCH(Additional_Inv_Proc_Tariff_List,TBL_Manually_added_tariffs[Activity],0))</f>
        <v>#N/A</v>
      </c>
      <c r="F532" s="181"/>
    </row>
    <row r="533" spans="1:6" hidden="1" x14ac:dyDescent="0.2">
      <c r="A533" s="38" t="e">
        <f>INDEX(Non_Tariff_Cost,MATCH(0,INDEX(COUNTIF($A$205:A532,Non_Tariff_Cost),0,0),0))</f>
        <v>#N/A</v>
      </c>
      <c r="B533" s="288" t="e">
        <f>INDEX(TBL_Manually_added_tariffs[ActivityType],MATCH(Additional_Inv_Proc_Tariff_List,TBL_Manually_added_tariffs[Activity],0))</f>
        <v>#N/A</v>
      </c>
      <c r="C533" s="156"/>
      <c r="D533" s="156"/>
      <c r="E533" s="35" t="e">
        <f>INDEX(TBL_Manually_added_tariffs[Cost (IF INVESTIGATION)],MATCH(Additional_Inv_Proc_Tariff_List,TBL_Manually_added_tariffs[Activity],0))</f>
        <v>#N/A</v>
      </c>
      <c r="F533" s="181"/>
    </row>
    <row r="534" spans="1:6" hidden="1" x14ac:dyDescent="0.2">
      <c r="A534" s="38" t="e">
        <f>INDEX(Non_Tariff_Cost,MATCH(0,INDEX(COUNTIF($A$205:A533,Non_Tariff_Cost),0,0),0))</f>
        <v>#N/A</v>
      </c>
      <c r="B534" s="288" t="e">
        <f>INDEX(TBL_Manually_added_tariffs[ActivityType],MATCH(Additional_Inv_Proc_Tariff_List,TBL_Manually_added_tariffs[Activity],0))</f>
        <v>#N/A</v>
      </c>
      <c r="C534" s="156"/>
      <c r="D534" s="156"/>
      <c r="E534" s="35" t="e">
        <f>INDEX(TBL_Manually_added_tariffs[Cost (IF INVESTIGATION)],MATCH(Additional_Inv_Proc_Tariff_List,TBL_Manually_added_tariffs[Activity],0))</f>
        <v>#N/A</v>
      </c>
      <c r="F534" s="181"/>
    </row>
    <row r="535" spans="1:6" hidden="1" x14ac:dyDescent="0.2">
      <c r="A535" s="38" t="e">
        <f>INDEX(Non_Tariff_Cost,MATCH(0,INDEX(COUNTIF($A$205:A534,Non_Tariff_Cost),0,0),0))</f>
        <v>#N/A</v>
      </c>
      <c r="B535" s="288" t="e">
        <f>INDEX(TBL_Manually_added_tariffs[ActivityType],MATCH(Additional_Inv_Proc_Tariff_List,TBL_Manually_added_tariffs[Activity],0))</f>
        <v>#N/A</v>
      </c>
      <c r="C535" s="156"/>
      <c r="D535" s="156"/>
      <c r="E535" s="35" t="e">
        <f>INDEX(TBL_Manually_added_tariffs[Cost (IF INVESTIGATION)],MATCH(Additional_Inv_Proc_Tariff_List,TBL_Manually_added_tariffs[Activity],0))</f>
        <v>#N/A</v>
      </c>
      <c r="F535" s="181"/>
    </row>
    <row r="536" spans="1:6" hidden="1" x14ac:dyDescent="0.2">
      <c r="A536" s="38" t="e">
        <f>INDEX(Non_Tariff_Cost,MATCH(0,INDEX(COUNTIF($A$205:A535,Non_Tariff_Cost),0,0),0))</f>
        <v>#N/A</v>
      </c>
      <c r="B536" s="288" t="e">
        <f>INDEX(TBL_Manually_added_tariffs[ActivityType],MATCH(Additional_Inv_Proc_Tariff_List,TBL_Manually_added_tariffs[Activity],0))</f>
        <v>#N/A</v>
      </c>
      <c r="C536" s="156"/>
      <c r="D536" s="156"/>
      <c r="E536" s="35" t="e">
        <f>INDEX(TBL_Manually_added_tariffs[Cost (IF INVESTIGATION)],MATCH(Additional_Inv_Proc_Tariff_List,TBL_Manually_added_tariffs[Activity],0))</f>
        <v>#N/A</v>
      </c>
      <c r="F536" s="181"/>
    </row>
    <row r="537" spans="1:6" hidden="1" x14ac:dyDescent="0.2">
      <c r="A537" s="38" t="e">
        <f>INDEX(Non_Tariff_Cost,MATCH(0,INDEX(COUNTIF($A$205:A536,Non_Tariff_Cost),0,0),0))</f>
        <v>#N/A</v>
      </c>
      <c r="B537" s="288" t="e">
        <f>INDEX(TBL_Manually_added_tariffs[ActivityType],MATCH(Additional_Inv_Proc_Tariff_List,TBL_Manually_added_tariffs[Activity],0))</f>
        <v>#N/A</v>
      </c>
      <c r="C537" s="156"/>
      <c r="D537" s="156"/>
      <c r="E537" s="35" t="e">
        <f>INDEX(TBL_Manually_added_tariffs[Cost (IF INVESTIGATION)],MATCH(Additional_Inv_Proc_Tariff_List,TBL_Manually_added_tariffs[Activity],0))</f>
        <v>#N/A</v>
      </c>
      <c r="F537" s="181"/>
    </row>
    <row r="538" spans="1:6" hidden="1" x14ac:dyDescent="0.2">
      <c r="A538" s="38" t="e">
        <f>INDEX(Non_Tariff_Cost,MATCH(0,INDEX(COUNTIF($A$205:A537,Non_Tariff_Cost),0,0),0))</f>
        <v>#N/A</v>
      </c>
      <c r="B538" s="288" t="e">
        <f>INDEX(TBL_Manually_added_tariffs[ActivityType],MATCH(Additional_Inv_Proc_Tariff_List,TBL_Manually_added_tariffs[Activity],0))</f>
        <v>#N/A</v>
      </c>
      <c r="C538" s="156"/>
      <c r="D538" s="156"/>
      <c r="E538" s="35" t="e">
        <f>INDEX(TBL_Manually_added_tariffs[Cost (IF INVESTIGATION)],MATCH(Additional_Inv_Proc_Tariff_List,TBL_Manually_added_tariffs[Activity],0))</f>
        <v>#N/A</v>
      </c>
      <c r="F538" s="181"/>
    </row>
    <row r="539" spans="1:6" hidden="1" x14ac:dyDescent="0.2">
      <c r="A539" s="38" t="e">
        <f>INDEX(Non_Tariff_Cost,MATCH(0,INDEX(COUNTIF($A$205:A538,Non_Tariff_Cost),0,0),0))</f>
        <v>#N/A</v>
      </c>
      <c r="B539" s="288" t="e">
        <f>INDEX(TBL_Manually_added_tariffs[ActivityType],MATCH(Additional_Inv_Proc_Tariff_List,TBL_Manually_added_tariffs[Activity],0))</f>
        <v>#N/A</v>
      </c>
      <c r="C539" s="156"/>
      <c r="D539" s="156"/>
      <c r="E539" s="35" t="e">
        <f>INDEX(TBL_Manually_added_tariffs[Cost (IF INVESTIGATION)],MATCH(Additional_Inv_Proc_Tariff_List,TBL_Manually_added_tariffs[Activity],0))</f>
        <v>#N/A</v>
      </c>
      <c r="F539" s="181"/>
    </row>
    <row r="540" spans="1:6" hidden="1" x14ac:dyDescent="0.2">
      <c r="A540" s="38" t="e">
        <f>INDEX(Non_Tariff_Cost,MATCH(0,INDEX(COUNTIF($A$205:A539,Non_Tariff_Cost),0,0),0))</f>
        <v>#N/A</v>
      </c>
      <c r="B540" s="288" t="e">
        <f>INDEX(TBL_Manually_added_tariffs[ActivityType],MATCH(Additional_Inv_Proc_Tariff_List,TBL_Manually_added_tariffs[Activity],0))</f>
        <v>#N/A</v>
      </c>
      <c r="C540" s="156"/>
      <c r="D540" s="156"/>
      <c r="E540" s="35" t="e">
        <f>INDEX(TBL_Manually_added_tariffs[Cost (IF INVESTIGATION)],MATCH(Additional_Inv_Proc_Tariff_List,TBL_Manually_added_tariffs[Activity],0))</f>
        <v>#N/A</v>
      </c>
      <c r="F540" s="181"/>
    </row>
    <row r="541" spans="1:6" hidden="1" x14ac:dyDescent="0.2">
      <c r="A541" s="38" t="e">
        <f>INDEX(Non_Tariff_Cost,MATCH(0,INDEX(COUNTIF($A$205:A540,Non_Tariff_Cost),0,0),0))</f>
        <v>#N/A</v>
      </c>
      <c r="B541" s="288" t="e">
        <f>INDEX(TBL_Manually_added_tariffs[ActivityType],MATCH(Additional_Inv_Proc_Tariff_List,TBL_Manually_added_tariffs[Activity],0))</f>
        <v>#N/A</v>
      </c>
      <c r="C541" s="156"/>
      <c r="D541" s="156"/>
      <c r="E541" s="35" t="e">
        <f>INDEX(TBL_Manually_added_tariffs[Cost (IF INVESTIGATION)],MATCH(Additional_Inv_Proc_Tariff_List,TBL_Manually_added_tariffs[Activity],0))</f>
        <v>#N/A</v>
      </c>
      <c r="F541" s="181"/>
    </row>
    <row r="542" spans="1:6" hidden="1" x14ac:dyDescent="0.2">
      <c r="A542" s="38" t="e">
        <f>INDEX(Non_Tariff_Cost,MATCH(0,INDEX(COUNTIF($A$205:A541,Non_Tariff_Cost),0,0),0))</f>
        <v>#N/A</v>
      </c>
      <c r="B542" s="288" t="e">
        <f>INDEX(TBL_Manually_added_tariffs[ActivityType],MATCH(Additional_Inv_Proc_Tariff_List,TBL_Manually_added_tariffs[Activity],0))</f>
        <v>#N/A</v>
      </c>
      <c r="C542" s="156"/>
      <c r="D542" s="156"/>
      <c r="E542" s="35" t="e">
        <f>INDEX(TBL_Manually_added_tariffs[Cost (IF INVESTIGATION)],MATCH(Additional_Inv_Proc_Tariff_List,TBL_Manually_added_tariffs[Activity],0))</f>
        <v>#N/A</v>
      </c>
      <c r="F542" s="181"/>
    </row>
    <row r="543" spans="1:6" hidden="1" x14ac:dyDescent="0.2">
      <c r="A543" s="38" t="e">
        <f>INDEX(Non_Tariff_Cost,MATCH(0,INDEX(COUNTIF($A$205:A542,Non_Tariff_Cost),0,0),0))</f>
        <v>#N/A</v>
      </c>
      <c r="B543" s="288" t="e">
        <f>INDEX(TBL_Manually_added_tariffs[ActivityType],MATCH(Additional_Inv_Proc_Tariff_List,TBL_Manually_added_tariffs[Activity],0))</f>
        <v>#N/A</v>
      </c>
      <c r="C543" s="156"/>
      <c r="D543" s="156"/>
      <c r="E543" s="35" t="e">
        <f>INDEX(TBL_Manually_added_tariffs[Cost (IF INVESTIGATION)],MATCH(Additional_Inv_Proc_Tariff_List,TBL_Manually_added_tariffs[Activity],0))</f>
        <v>#N/A</v>
      </c>
      <c r="F543" s="181"/>
    </row>
    <row r="544" spans="1:6" hidden="1" x14ac:dyDescent="0.2">
      <c r="A544" s="38" t="e">
        <f>INDEX(Non_Tariff_Cost,MATCH(0,INDEX(COUNTIF($A$205:A543,Non_Tariff_Cost),0,0),0))</f>
        <v>#N/A</v>
      </c>
      <c r="B544" s="288" t="e">
        <f>INDEX(TBL_Manually_added_tariffs[ActivityType],MATCH(Additional_Inv_Proc_Tariff_List,TBL_Manually_added_tariffs[Activity],0))</f>
        <v>#N/A</v>
      </c>
      <c r="C544" s="156"/>
      <c r="D544" s="156"/>
      <c r="E544" s="35" t="e">
        <f>INDEX(TBL_Manually_added_tariffs[Cost (IF INVESTIGATION)],MATCH(Additional_Inv_Proc_Tariff_List,TBL_Manually_added_tariffs[Activity],0))</f>
        <v>#N/A</v>
      </c>
      <c r="F544" s="181"/>
    </row>
    <row r="545" spans="1:6" hidden="1" x14ac:dyDescent="0.2">
      <c r="A545" s="38" t="e">
        <f>INDEX(Non_Tariff_Cost,MATCH(0,INDEX(COUNTIF($A$205:A544,Non_Tariff_Cost),0,0),0))</f>
        <v>#N/A</v>
      </c>
      <c r="B545" s="288" t="e">
        <f>INDEX(TBL_Manually_added_tariffs[ActivityType],MATCH(Additional_Inv_Proc_Tariff_List,TBL_Manually_added_tariffs[Activity],0))</f>
        <v>#N/A</v>
      </c>
      <c r="C545" s="156"/>
      <c r="D545" s="156"/>
      <c r="E545" s="35" t="e">
        <f>INDEX(TBL_Manually_added_tariffs[Cost (IF INVESTIGATION)],MATCH(Additional_Inv_Proc_Tariff_List,TBL_Manually_added_tariffs[Activity],0))</f>
        <v>#N/A</v>
      </c>
      <c r="F545" s="181"/>
    </row>
    <row r="546" spans="1:6" hidden="1" x14ac:dyDescent="0.2">
      <c r="A546" s="38" t="e">
        <f>INDEX(Non_Tariff_Cost,MATCH(0,INDEX(COUNTIF($A$205:A545,Non_Tariff_Cost),0,0),0))</f>
        <v>#N/A</v>
      </c>
      <c r="B546" s="288" t="e">
        <f>INDEX(TBL_Manually_added_tariffs[ActivityType],MATCH(Additional_Inv_Proc_Tariff_List,TBL_Manually_added_tariffs[Activity],0))</f>
        <v>#N/A</v>
      </c>
      <c r="C546" s="156"/>
      <c r="D546" s="156"/>
      <c r="E546" s="35" t="e">
        <f>INDEX(TBL_Manually_added_tariffs[Cost (IF INVESTIGATION)],MATCH(Additional_Inv_Proc_Tariff_List,TBL_Manually_added_tariffs[Activity],0))</f>
        <v>#N/A</v>
      </c>
      <c r="F546" s="181"/>
    </row>
    <row r="547" spans="1:6" hidden="1" x14ac:dyDescent="0.2">
      <c r="A547" s="38" t="e">
        <f>INDEX(Non_Tariff_Cost,MATCH(0,INDEX(COUNTIF($A$205:A546,Non_Tariff_Cost),0,0),0))</f>
        <v>#N/A</v>
      </c>
      <c r="B547" s="288" t="e">
        <f>INDEX(TBL_Manually_added_tariffs[ActivityType],MATCH(Additional_Inv_Proc_Tariff_List,TBL_Manually_added_tariffs[Activity],0))</f>
        <v>#N/A</v>
      </c>
      <c r="C547" s="156"/>
      <c r="D547" s="156"/>
      <c r="E547" s="35" t="e">
        <f>INDEX(TBL_Manually_added_tariffs[Cost (IF INVESTIGATION)],MATCH(Additional_Inv_Proc_Tariff_List,TBL_Manually_added_tariffs[Activity],0))</f>
        <v>#N/A</v>
      </c>
      <c r="F547" s="181"/>
    </row>
    <row r="548" spans="1:6" hidden="1" x14ac:dyDescent="0.2">
      <c r="A548" s="38" t="e">
        <f>INDEX(Non_Tariff_Cost,MATCH(0,INDEX(COUNTIF($A$205:A547,Non_Tariff_Cost),0,0),0))</f>
        <v>#N/A</v>
      </c>
      <c r="B548" s="288" t="e">
        <f>INDEX(TBL_Manually_added_tariffs[ActivityType],MATCH(Additional_Inv_Proc_Tariff_List,TBL_Manually_added_tariffs[Activity],0))</f>
        <v>#N/A</v>
      </c>
      <c r="C548" s="156"/>
      <c r="D548" s="156"/>
      <c r="E548" s="35" t="e">
        <f>INDEX(TBL_Manually_added_tariffs[Cost (IF INVESTIGATION)],MATCH(Additional_Inv_Proc_Tariff_List,TBL_Manually_added_tariffs[Activity],0))</f>
        <v>#N/A</v>
      </c>
      <c r="F548" s="181"/>
    </row>
    <row r="549" spans="1:6" hidden="1" x14ac:dyDescent="0.2">
      <c r="A549" s="38" t="e">
        <f>INDEX(Non_Tariff_Cost,MATCH(0,INDEX(COUNTIF($A$205:A548,Non_Tariff_Cost),0,0),0))</f>
        <v>#N/A</v>
      </c>
      <c r="B549" s="288" t="e">
        <f>INDEX(TBL_Manually_added_tariffs[ActivityType],MATCH(Additional_Inv_Proc_Tariff_List,TBL_Manually_added_tariffs[Activity],0))</f>
        <v>#N/A</v>
      </c>
      <c r="C549" s="156"/>
      <c r="D549" s="156"/>
      <c r="E549" s="35" t="e">
        <f>INDEX(TBL_Manually_added_tariffs[Cost (IF INVESTIGATION)],MATCH(Additional_Inv_Proc_Tariff_List,TBL_Manually_added_tariffs[Activity],0))</f>
        <v>#N/A</v>
      </c>
      <c r="F549" s="181"/>
    </row>
    <row r="550" spans="1:6" hidden="1" x14ac:dyDescent="0.2">
      <c r="A550" s="38" t="e">
        <f>INDEX(Non_Tariff_Cost,MATCH(0,INDEX(COUNTIF($A$205:A549,Non_Tariff_Cost),0,0),0))</f>
        <v>#N/A</v>
      </c>
      <c r="B550" s="288" t="e">
        <f>INDEX(TBL_Manually_added_tariffs[ActivityType],MATCH(Additional_Inv_Proc_Tariff_List,TBL_Manually_added_tariffs[Activity],0))</f>
        <v>#N/A</v>
      </c>
      <c r="C550" s="156"/>
      <c r="D550" s="156"/>
      <c r="E550" s="35" t="e">
        <f>INDEX(TBL_Manually_added_tariffs[Cost (IF INVESTIGATION)],MATCH(Additional_Inv_Proc_Tariff_List,TBL_Manually_added_tariffs[Activity],0))</f>
        <v>#N/A</v>
      </c>
      <c r="F550" s="181"/>
    </row>
    <row r="551" spans="1:6" hidden="1" x14ac:dyDescent="0.2">
      <c r="A551" s="38" t="e">
        <f>INDEX(Non_Tariff_Cost,MATCH(0,INDEX(COUNTIF($A$205:A550,Non_Tariff_Cost),0,0),0))</f>
        <v>#N/A</v>
      </c>
      <c r="B551" s="288" t="e">
        <f>INDEX(TBL_Manually_added_tariffs[ActivityType],MATCH(Additional_Inv_Proc_Tariff_List,TBL_Manually_added_tariffs[Activity],0))</f>
        <v>#N/A</v>
      </c>
      <c r="C551" s="156"/>
      <c r="D551" s="156"/>
      <c r="E551" s="35" t="e">
        <f>INDEX(TBL_Manually_added_tariffs[Cost (IF INVESTIGATION)],MATCH(Additional_Inv_Proc_Tariff_List,TBL_Manually_added_tariffs[Activity],0))</f>
        <v>#N/A</v>
      </c>
      <c r="F551" s="181"/>
    </row>
    <row r="552" spans="1:6" hidden="1" x14ac:dyDescent="0.2">
      <c r="A552" s="38" t="e">
        <f>INDEX(Non_Tariff_Cost,MATCH(0,INDEX(COUNTIF($A$205:A551,Non_Tariff_Cost),0,0),0))</f>
        <v>#N/A</v>
      </c>
      <c r="B552" s="288" t="e">
        <f>INDEX(TBL_Manually_added_tariffs[ActivityType],MATCH(Additional_Inv_Proc_Tariff_List,TBL_Manually_added_tariffs[Activity],0))</f>
        <v>#N/A</v>
      </c>
      <c r="C552" s="156"/>
      <c r="D552" s="156"/>
      <c r="E552" s="35" t="e">
        <f>INDEX(TBL_Manually_added_tariffs[Cost (IF INVESTIGATION)],MATCH(Additional_Inv_Proc_Tariff_List,TBL_Manually_added_tariffs[Activity],0))</f>
        <v>#N/A</v>
      </c>
      <c r="F552" s="181"/>
    </row>
    <row r="553" spans="1:6" hidden="1" x14ac:dyDescent="0.2">
      <c r="A553" s="38" t="e">
        <f>INDEX(Non_Tariff_Cost,MATCH(0,INDEX(COUNTIF($A$205:A552,Non_Tariff_Cost),0,0),0))</f>
        <v>#N/A</v>
      </c>
      <c r="B553" s="288" t="e">
        <f>INDEX(TBL_Manually_added_tariffs[ActivityType],MATCH(Additional_Inv_Proc_Tariff_List,TBL_Manually_added_tariffs[Activity],0))</f>
        <v>#N/A</v>
      </c>
      <c r="C553" s="156"/>
      <c r="D553" s="156"/>
      <c r="E553" s="35" t="e">
        <f>INDEX(TBL_Manually_added_tariffs[Cost (IF INVESTIGATION)],MATCH(Additional_Inv_Proc_Tariff_List,TBL_Manually_added_tariffs[Activity],0))</f>
        <v>#N/A</v>
      </c>
      <c r="F553" s="181"/>
    </row>
    <row r="554" spans="1:6" hidden="1" x14ac:dyDescent="0.2">
      <c r="A554" s="38" t="e">
        <f>INDEX(Non_Tariff_Cost,MATCH(0,INDEX(COUNTIF($A$205:A553,Non_Tariff_Cost),0,0),0))</f>
        <v>#N/A</v>
      </c>
      <c r="B554" s="288" t="e">
        <f>INDEX(TBL_Manually_added_tariffs[ActivityType],MATCH(Additional_Inv_Proc_Tariff_List,TBL_Manually_added_tariffs[Activity],0))</f>
        <v>#N/A</v>
      </c>
      <c r="C554" s="156"/>
      <c r="D554" s="156"/>
      <c r="E554" s="35" t="e">
        <f>INDEX(TBL_Manually_added_tariffs[Cost (IF INVESTIGATION)],MATCH(Additional_Inv_Proc_Tariff_List,TBL_Manually_added_tariffs[Activity],0))</f>
        <v>#N/A</v>
      </c>
      <c r="F554" s="181"/>
    </row>
    <row r="555" spans="1:6" hidden="1" x14ac:dyDescent="0.2">
      <c r="A555" s="38" t="e">
        <f>INDEX(Non_Tariff_Cost,MATCH(0,INDEX(COUNTIF($A$205:A554,Non_Tariff_Cost),0,0),0))</f>
        <v>#N/A</v>
      </c>
      <c r="B555" s="288" t="e">
        <f>INDEX(TBL_Manually_added_tariffs[ActivityType],MATCH(Additional_Inv_Proc_Tariff_List,TBL_Manually_added_tariffs[Activity],0))</f>
        <v>#N/A</v>
      </c>
      <c r="C555" s="156"/>
      <c r="D555" s="156"/>
      <c r="E555" s="35" t="e">
        <f>INDEX(TBL_Manually_added_tariffs[Cost (IF INVESTIGATION)],MATCH(Additional_Inv_Proc_Tariff_List,TBL_Manually_added_tariffs[Activity],0))</f>
        <v>#N/A</v>
      </c>
      <c r="F555" s="181"/>
    </row>
    <row r="556" spans="1:6" hidden="1" x14ac:dyDescent="0.2">
      <c r="A556" s="38" t="e">
        <f>INDEX(Non_Tariff_Cost,MATCH(0,INDEX(COUNTIF($A$205:A555,Non_Tariff_Cost),0,0),0))</f>
        <v>#N/A</v>
      </c>
      <c r="B556" s="288" t="e">
        <f>INDEX(TBL_Manually_added_tariffs[ActivityType],MATCH(Additional_Inv_Proc_Tariff_List,TBL_Manually_added_tariffs[Activity],0))</f>
        <v>#N/A</v>
      </c>
      <c r="C556" s="156"/>
      <c r="D556" s="156"/>
      <c r="E556" s="35" t="e">
        <f>INDEX(TBL_Manually_added_tariffs[Cost (IF INVESTIGATION)],MATCH(Additional_Inv_Proc_Tariff_List,TBL_Manually_added_tariffs[Activity],0))</f>
        <v>#N/A</v>
      </c>
      <c r="F556" s="181"/>
    </row>
    <row r="557" spans="1:6" hidden="1" x14ac:dyDescent="0.2">
      <c r="A557" s="38" t="e">
        <f>INDEX(Non_Tariff_Cost,MATCH(0,INDEX(COUNTIF($A$205:A556,Non_Tariff_Cost),0,0),0))</f>
        <v>#N/A</v>
      </c>
      <c r="B557" s="288" t="e">
        <f>INDEX(TBL_Manually_added_tariffs[ActivityType],MATCH(Additional_Inv_Proc_Tariff_List,TBL_Manually_added_tariffs[Activity],0))</f>
        <v>#N/A</v>
      </c>
      <c r="C557" s="156"/>
      <c r="D557" s="156"/>
      <c r="E557" s="35" t="e">
        <f>INDEX(TBL_Manually_added_tariffs[Cost (IF INVESTIGATION)],MATCH(Additional_Inv_Proc_Tariff_List,TBL_Manually_added_tariffs[Activity],0))</f>
        <v>#N/A</v>
      </c>
      <c r="F557" s="181"/>
    </row>
    <row r="558" spans="1:6" hidden="1" x14ac:dyDescent="0.2">
      <c r="A558" s="38" t="e">
        <f>INDEX(Non_Tariff_Cost,MATCH(0,INDEX(COUNTIF($A$205:A557,Non_Tariff_Cost),0,0),0))</f>
        <v>#N/A</v>
      </c>
      <c r="B558" s="288" t="e">
        <f>INDEX(TBL_Manually_added_tariffs[ActivityType],MATCH(Additional_Inv_Proc_Tariff_List,TBL_Manually_added_tariffs[Activity],0))</f>
        <v>#N/A</v>
      </c>
      <c r="C558" s="156"/>
      <c r="D558" s="156"/>
      <c r="E558" s="35" t="e">
        <f>INDEX(TBL_Manually_added_tariffs[Cost (IF INVESTIGATION)],MATCH(Additional_Inv_Proc_Tariff_List,TBL_Manually_added_tariffs[Activity],0))</f>
        <v>#N/A</v>
      </c>
      <c r="F558" s="181"/>
    </row>
    <row r="559" spans="1:6" hidden="1" x14ac:dyDescent="0.2">
      <c r="A559" s="38" t="e">
        <f>INDEX(Non_Tariff_Cost,MATCH(0,INDEX(COUNTIF($A$205:A558,Non_Tariff_Cost),0,0),0))</f>
        <v>#N/A</v>
      </c>
      <c r="B559" s="288" t="e">
        <f>INDEX(TBL_Manually_added_tariffs[ActivityType],MATCH(Additional_Inv_Proc_Tariff_List,TBL_Manually_added_tariffs[Activity],0))</f>
        <v>#N/A</v>
      </c>
      <c r="C559" s="156"/>
      <c r="D559" s="156"/>
      <c r="E559" s="35" t="e">
        <f>INDEX(TBL_Manually_added_tariffs[Cost (IF INVESTIGATION)],MATCH(Additional_Inv_Proc_Tariff_List,TBL_Manually_added_tariffs[Activity],0))</f>
        <v>#N/A</v>
      </c>
      <c r="F559" s="181"/>
    </row>
    <row r="560" spans="1:6" hidden="1" x14ac:dyDescent="0.2">
      <c r="A560" s="38" t="e">
        <f>INDEX(Non_Tariff_Cost,MATCH(0,INDEX(COUNTIF($A$205:A559,Non_Tariff_Cost),0,0),0))</f>
        <v>#N/A</v>
      </c>
      <c r="B560" s="288" t="e">
        <f>INDEX(TBL_Manually_added_tariffs[ActivityType],MATCH(Additional_Inv_Proc_Tariff_List,TBL_Manually_added_tariffs[Activity],0))</f>
        <v>#N/A</v>
      </c>
      <c r="C560" s="156"/>
      <c r="D560" s="156"/>
      <c r="E560" s="35" t="e">
        <f>INDEX(TBL_Manually_added_tariffs[Cost (IF INVESTIGATION)],MATCH(Additional_Inv_Proc_Tariff_List,TBL_Manually_added_tariffs[Activity],0))</f>
        <v>#N/A</v>
      </c>
      <c r="F560" s="181"/>
    </row>
    <row r="561" spans="1:6" hidden="1" x14ac:dyDescent="0.2">
      <c r="A561" s="38" t="e">
        <f>INDEX(Non_Tariff_Cost,MATCH(0,INDEX(COUNTIF($A$205:A560,Non_Tariff_Cost),0,0),0))</f>
        <v>#N/A</v>
      </c>
      <c r="B561" s="288" t="e">
        <f>INDEX(TBL_Manually_added_tariffs[ActivityType],MATCH(Additional_Inv_Proc_Tariff_List,TBL_Manually_added_tariffs[Activity],0))</f>
        <v>#N/A</v>
      </c>
      <c r="C561" s="156"/>
      <c r="D561" s="156"/>
      <c r="E561" s="35" t="e">
        <f>INDEX(TBL_Manually_added_tariffs[Cost (IF INVESTIGATION)],MATCH(Additional_Inv_Proc_Tariff_List,TBL_Manually_added_tariffs[Activity],0))</f>
        <v>#N/A</v>
      </c>
      <c r="F561" s="181"/>
    </row>
    <row r="562" spans="1:6" hidden="1" x14ac:dyDescent="0.2">
      <c r="A562" s="38" t="e">
        <f>INDEX(Non_Tariff_Cost,MATCH(0,INDEX(COUNTIF($A$205:A561,Non_Tariff_Cost),0,0),0))</f>
        <v>#N/A</v>
      </c>
      <c r="B562" s="288" t="e">
        <f>INDEX(TBL_Manually_added_tariffs[ActivityType],MATCH(Additional_Inv_Proc_Tariff_List,TBL_Manually_added_tariffs[Activity],0))</f>
        <v>#N/A</v>
      </c>
      <c r="C562" s="156"/>
      <c r="D562" s="156"/>
      <c r="E562" s="35" t="e">
        <f>INDEX(TBL_Manually_added_tariffs[Cost (IF INVESTIGATION)],MATCH(Additional_Inv_Proc_Tariff_List,TBL_Manually_added_tariffs[Activity],0))</f>
        <v>#N/A</v>
      </c>
      <c r="F562" s="181"/>
    </row>
    <row r="563" spans="1:6" hidden="1" x14ac:dyDescent="0.2">
      <c r="A563" s="38" t="e">
        <f>INDEX(Non_Tariff_Cost,MATCH(0,INDEX(COUNTIF($A$205:A562,Non_Tariff_Cost),0,0),0))</f>
        <v>#N/A</v>
      </c>
      <c r="B563" s="288" t="e">
        <f>INDEX(TBL_Manually_added_tariffs[ActivityType],MATCH(Additional_Inv_Proc_Tariff_List,TBL_Manually_added_tariffs[Activity],0))</f>
        <v>#N/A</v>
      </c>
      <c r="C563" s="156"/>
      <c r="D563" s="156"/>
      <c r="E563" s="35" t="e">
        <f>INDEX(TBL_Manually_added_tariffs[Cost (IF INVESTIGATION)],MATCH(Additional_Inv_Proc_Tariff_List,TBL_Manually_added_tariffs[Activity],0))</f>
        <v>#N/A</v>
      </c>
      <c r="F563" s="181"/>
    </row>
    <row r="564" spans="1:6" hidden="1" x14ac:dyDescent="0.2">
      <c r="A564" s="38" t="e">
        <f>INDEX(Non_Tariff_Cost,MATCH(0,INDEX(COUNTIF($A$205:A563,Non_Tariff_Cost),0,0),0))</f>
        <v>#N/A</v>
      </c>
      <c r="B564" s="288" t="e">
        <f>INDEX(TBL_Manually_added_tariffs[ActivityType],MATCH(Additional_Inv_Proc_Tariff_List,TBL_Manually_added_tariffs[Activity],0))</f>
        <v>#N/A</v>
      </c>
      <c r="C564" s="156"/>
      <c r="D564" s="156"/>
      <c r="E564" s="35" t="e">
        <f>INDEX(TBL_Manually_added_tariffs[Cost (IF INVESTIGATION)],MATCH(Additional_Inv_Proc_Tariff_List,TBL_Manually_added_tariffs[Activity],0))</f>
        <v>#N/A</v>
      </c>
      <c r="F564" s="181"/>
    </row>
    <row r="565" spans="1:6" hidden="1" x14ac:dyDescent="0.2">
      <c r="A565" s="38" t="e">
        <f>INDEX(Non_Tariff_Cost,MATCH(0,INDEX(COUNTIF($A$205:A564,Non_Tariff_Cost),0,0),0))</f>
        <v>#N/A</v>
      </c>
      <c r="B565" s="288" t="e">
        <f>INDEX(TBL_Manually_added_tariffs[ActivityType],MATCH(Additional_Inv_Proc_Tariff_List,TBL_Manually_added_tariffs[Activity],0))</f>
        <v>#N/A</v>
      </c>
      <c r="C565" s="156"/>
      <c r="D565" s="156"/>
      <c r="E565" s="35" t="e">
        <f>INDEX(TBL_Manually_added_tariffs[Cost (IF INVESTIGATION)],MATCH(Additional_Inv_Proc_Tariff_List,TBL_Manually_added_tariffs[Activity],0))</f>
        <v>#N/A</v>
      </c>
      <c r="F565" s="181"/>
    </row>
    <row r="566" spans="1:6" hidden="1" x14ac:dyDescent="0.2">
      <c r="A566" s="38" t="e">
        <f>INDEX(Non_Tariff_Cost,MATCH(0,INDEX(COUNTIF($A$205:A565,Non_Tariff_Cost),0,0),0))</f>
        <v>#N/A</v>
      </c>
      <c r="B566" s="288" t="e">
        <f>INDEX(TBL_Manually_added_tariffs[ActivityType],MATCH(Additional_Inv_Proc_Tariff_List,TBL_Manually_added_tariffs[Activity],0))</f>
        <v>#N/A</v>
      </c>
      <c r="C566" s="156"/>
      <c r="D566" s="156"/>
      <c r="E566" s="35" t="e">
        <f>INDEX(TBL_Manually_added_tariffs[Cost (IF INVESTIGATION)],MATCH(Additional_Inv_Proc_Tariff_List,TBL_Manually_added_tariffs[Activity],0))</f>
        <v>#N/A</v>
      </c>
      <c r="F566" s="181"/>
    </row>
    <row r="567" spans="1:6" hidden="1" x14ac:dyDescent="0.2">
      <c r="A567" s="38" t="e">
        <f>INDEX(Non_Tariff_Cost,MATCH(0,INDEX(COUNTIF($A$205:A566,Non_Tariff_Cost),0,0),0))</f>
        <v>#N/A</v>
      </c>
      <c r="B567" s="288" t="e">
        <f>INDEX(TBL_Manually_added_tariffs[ActivityType],MATCH(Additional_Inv_Proc_Tariff_List,TBL_Manually_added_tariffs[Activity],0))</f>
        <v>#N/A</v>
      </c>
      <c r="C567" s="156"/>
      <c r="D567" s="156"/>
      <c r="E567" s="35" t="e">
        <f>INDEX(TBL_Manually_added_tariffs[Cost (IF INVESTIGATION)],MATCH(Additional_Inv_Proc_Tariff_List,TBL_Manually_added_tariffs[Activity],0))</f>
        <v>#N/A</v>
      </c>
      <c r="F567" s="181"/>
    </row>
    <row r="568" spans="1:6" hidden="1" x14ac:dyDescent="0.2">
      <c r="A568" s="38" t="e">
        <f>INDEX(Non_Tariff_Cost,MATCH(0,INDEX(COUNTIF($A$205:A567,Non_Tariff_Cost),0,0),0))</f>
        <v>#N/A</v>
      </c>
      <c r="B568" s="288" t="e">
        <f>INDEX(TBL_Manually_added_tariffs[ActivityType],MATCH(Additional_Inv_Proc_Tariff_List,TBL_Manually_added_tariffs[Activity],0))</f>
        <v>#N/A</v>
      </c>
      <c r="C568" s="156"/>
      <c r="D568" s="156"/>
      <c r="E568" s="35" t="e">
        <f>INDEX(TBL_Manually_added_tariffs[Cost (IF INVESTIGATION)],MATCH(Additional_Inv_Proc_Tariff_List,TBL_Manually_added_tariffs[Activity],0))</f>
        <v>#N/A</v>
      </c>
      <c r="F568" s="181"/>
    </row>
    <row r="569" spans="1:6" hidden="1" x14ac:dyDescent="0.2">
      <c r="A569" s="38" t="e">
        <f>INDEX(Non_Tariff_Cost,MATCH(0,INDEX(COUNTIF($A$205:A568,Non_Tariff_Cost),0,0),0))</f>
        <v>#N/A</v>
      </c>
      <c r="B569" s="288" t="e">
        <f>INDEX(TBL_Manually_added_tariffs[ActivityType],MATCH(Additional_Inv_Proc_Tariff_List,TBL_Manually_added_tariffs[Activity],0))</f>
        <v>#N/A</v>
      </c>
      <c r="C569" s="156"/>
      <c r="D569" s="156"/>
      <c r="E569" s="35" t="e">
        <f>INDEX(TBL_Manually_added_tariffs[Cost (IF INVESTIGATION)],MATCH(Additional_Inv_Proc_Tariff_List,TBL_Manually_added_tariffs[Activity],0))</f>
        <v>#N/A</v>
      </c>
      <c r="F569" s="181"/>
    </row>
    <row r="570" spans="1:6" hidden="1" x14ac:dyDescent="0.2">
      <c r="A570" s="38" t="e">
        <f>INDEX(Non_Tariff_Cost,MATCH(0,INDEX(COUNTIF($A$205:A569,Non_Tariff_Cost),0,0),0))</f>
        <v>#N/A</v>
      </c>
      <c r="B570" s="288" t="e">
        <f>INDEX(TBL_Manually_added_tariffs[ActivityType],MATCH(Additional_Inv_Proc_Tariff_List,TBL_Manually_added_tariffs[Activity],0))</f>
        <v>#N/A</v>
      </c>
      <c r="C570" s="156"/>
      <c r="D570" s="156"/>
      <c r="E570" s="35" t="e">
        <f>INDEX(TBL_Manually_added_tariffs[Cost (IF INVESTIGATION)],MATCH(Additional_Inv_Proc_Tariff_List,TBL_Manually_added_tariffs[Activity],0))</f>
        <v>#N/A</v>
      </c>
      <c r="F570" s="181"/>
    </row>
    <row r="571" spans="1:6" hidden="1" x14ac:dyDescent="0.2">
      <c r="A571" s="38" t="e">
        <f>INDEX(Non_Tariff_Cost,MATCH(0,INDEX(COUNTIF($A$205:A570,Non_Tariff_Cost),0,0),0))</f>
        <v>#N/A</v>
      </c>
      <c r="B571" s="288" t="e">
        <f>INDEX(TBL_Manually_added_tariffs[ActivityType],MATCH(Additional_Inv_Proc_Tariff_List,TBL_Manually_added_tariffs[Activity],0))</f>
        <v>#N/A</v>
      </c>
      <c r="C571" s="156"/>
      <c r="D571" s="156"/>
      <c r="E571" s="35" t="e">
        <f>INDEX(TBL_Manually_added_tariffs[Cost (IF INVESTIGATION)],MATCH(Additional_Inv_Proc_Tariff_List,TBL_Manually_added_tariffs[Activity],0))</f>
        <v>#N/A</v>
      </c>
      <c r="F571" s="181"/>
    </row>
    <row r="572" spans="1:6" hidden="1" x14ac:dyDescent="0.2">
      <c r="A572" s="38" t="e">
        <f>INDEX(Non_Tariff_Cost,MATCH(0,INDEX(COUNTIF($A$205:A571,Non_Tariff_Cost),0,0),0))</f>
        <v>#N/A</v>
      </c>
      <c r="B572" s="288" t="e">
        <f>INDEX(TBL_Manually_added_tariffs[ActivityType],MATCH(Additional_Inv_Proc_Tariff_List,TBL_Manually_added_tariffs[Activity],0))</f>
        <v>#N/A</v>
      </c>
      <c r="C572" s="156"/>
      <c r="D572" s="156"/>
      <c r="E572" s="35" t="e">
        <f>INDEX(TBL_Manually_added_tariffs[Cost (IF INVESTIGATION)],MATCH(Additional_Inv_Proc_Tariff_List,TBL_Manually_added_tariffs[Activity],0))</f>
        <v>#N/A</v>
      </c>
      <c r="F572" s="181"/>
    </row>
    <row r="573" spans="1:6" hidden="1" x14ac:dyDescent="0.2">
      <c r="A573" s="38" t="e">
        <f>INDEX(Non_Tariff_Cost,MATCH(0,INDEX(COUNTIF($A$205:A572,Non_Tariff_Cost),0,0),0))</f>
        <v>#N/A</v>
      </c>
      <c r="B573" s="288" t="e">
        <f>INDEX(TBL_Manually_added_tariffs[ActivityType],MATCH(Additional_Inv_Proc_Tariff_List,TBL_Manually_added_tariffs[Activity],0))</f>
        <v>#N/A</v>
      </c>
      <c r="C573" s="156"/>
      <c r="D573" s="156"/>
      <c r="E573" s="35" t="e">
        <f>INDEX(TBL_Manually_added_tariffs[Cost (IF INVESTIGATION)],MATCH(Additional_Inv_Proc_Tariff_List,TBL_Manually_added_tariffs[Activity],0))</f>
        <v>#N/A</v>
      </c>
      <c r="F573" s="181"/>
    </row>
    <row r="574" spans="1:6" hidden="1" x14ac:dyDescent="0.2">
      <c r="A574" s="38" t="e">
        <f>INDEX(Non_Tariff_Cost,MATCH(0,INDEX(COUNTIF($A$205:A573,Non_Tariff_Cost),0,0),0))</f>
        <v>#N/A</v>
      </c>
      <c r="B574" s="288" t="e">
        <f>INDEX(TBL_Manually_added_tariffs[ActivityType],MATCH(Additional_Inv_Proc_Tariff_List,TBL_Manually_added_tariffs[Activity],0))</f>
        <v>#N/A</v>
      </c>
      <c r="C574" s="156"/>
      <c r="D574" s="156"/>
      <c r="E574" s="35" t="e">
        <f>INDEX(TBL_Manually_added_tariffs[Cost (IF INVESTIGATION)],MATCH(Additional_Inv_Proc_Tariff_List,TBL_Manually_added_tariffs[Activity],0))</f>
        <v>#N/A</v>
      </c>
      <c r="F574" s="181"/>
    </row>
    <row r="575" spans="1:6" hidden="1" x14ac:dyDescent="0.2">
      <c r="A575" s="38" t="e">
        <f>INDEX(Non_Tariff_Cost,MATCH(0,INDEX(COUNTIF($A$205:A574,Non_Tariff_Cost),0,0),0))</f>
        <v>#N/A</v>
      </c>
      <c r="B575" s="288" t="e">
        <f>INDEX(TBL_Manually_added_tariffs[ActivityType],MATCH(Additional_Inv_Proc_Tariff_List,TBL_Manually_added_tariffs[Activity],0))</f>
        <v>#N/A</v>
      </c>
      <c r="C575" s="156"/>
      <c r="D575" s="156"/>
      <c r="E575" s="35" t="e">
        <f>INDEX(TBL_Manually_added_tariffs[Cost (IF INVESTIGATION)],MATCH(Additional_Inv_Proc_Tariff_List,TBL_Manually_added_tariffs[Activity],0))</f>
        <v>#N/A</v>
      </c>
      <c r="F575" s="181"/>
    </row>
    <row r="576" spans="1:6" hidden="1" x14ac:dyDescent="0.2">
      <c r="A576" s="38" t="e">
        <f>INDEX(Non_Tariff_Cost,MATCH(0,INDEX(COUNTIF($A$205:A575,Non_Tariff_Cost),0,0),0))</f>
        <v>#N/A</v>
      </c>
      <c r="B576" s="288" t="e">
        <f>INDEX(TBL_Manually_added_tariffs[ActivityType],MATCH(Additional_Inv_Proc_Tariff_List,TBL_Manually_added_tariffs[Activity],0))</f>
        <v>#N/A</v>
      </c>
      <c r="C576" s="156"/>
      <c r="D576" s="156"/>
      <c r="E576" s="35" t="e">
        <f>INDEX(TBL_Manually_added_tariffs[Cost (IF INVESTIGATION)],MATCH(Additional_Inv_Proc_Tariff_List,TBL_Manually_added_tariffs[Activity],0))</f>
        <v>#N/A</v>
      </c>
      <c r="F576" s="181"/>
    </row>
    <row r="577" spans="1:6" hidden="1" x14ac:dyDescent="0.2">
      <c r="A577" s="38" t="e">
        <f>INDEX(Non_Tariff_Cost,MATCH(0,INDEX(COUNTIF($A$205:A576,Non_Tariff_Cost),0,0),0))</f>
        <v>#N/A</v>
      </c>
      <c r="B577" s="288" t="e">
        <f>INDEX(TBL_Manually_added_tariffs[ActivityType],MATCH(Additional_Inv_Proc_Tariff_List,TBL_Manually_added_tariffs[Activity],0))</f>
        <v>#N/A</v>
      </c>
      <c r="C577" s="156"/>
      <c r="D577" s="156"/>
      <c r="E577" s="35" t="e">
        <f>INDEX(TBL_Manually_added_tariffs[Cost (IF INVESTIGATION)],MATCH(Additional_Inv_Proc_Tariff_List,TBL_Manually_added_tariffs[Activity],0))</f>
        <v>#N/A</v>
      </c>
      <c r="F577" s="181"/>
    </row>
    <row r="578" spans="1:6" hidden="1" x14ac:dyDescent="0.2">
      <c r="A578" s="38" t="e">
        <f>INDEX(Non_Tariff_Cost,MATCH(0,INDEX(COUNTIF($A$205:A577,Non_Tariff_Cost),0,0),0))</f>
        <v>#N/A</v>
      </c>
      <c r="B578" s="288" t="e">
        <f>INDEX(TBL_Manually_added_tariffs[ActivityType],MATCH(Additional_Inv_Proc_Tariff_List,TBL_Manually_added_tariffs[Activity],0))</f>
        <v>#N/A</v>
      </c>
      <c r="C578" s="156"/>
      <c r="D578" s="156"/>
      <c r="E578" s="35" t="e">
        <f>INDEX(TBL_Manually_added_tariffs[Cost (IF INVESTIGATION)],MATCH(Additional_Inv_Proc_Tariff_List,TBL_Manually_added_tariffs[Activity],0))</f>
        <v>#N/A</v>
      </c>
      <c r="F578" s="181"/>
    </row>
    <row r="579" spans="1:6" hidden="1" x14ac:dyDescent="0.2">
      <c r="A579" s="38" t="e">
        <f>INDEX(Non_Tariff_Cost,MATCH(0,INDEX(COUNTIF($A$205:A578,Non_Tariff_Cost),0,0),0))</f>
        <v>#N/A</v>
      </c>
      <c r="B579" s="288" t="e">
        <f>INDEX(TBL_Manually_added_tariffs[ActivityType],MATCH(Additional_Inv_Proc_Tariff_List,TBL_Manually_added_tariffs[Activity],0))</f>
        <v>#N/A</v>
      </c>
      <c r="C579" s="156"/>
      <c r="D579" s="156"/>
      <c r="E579" s="35" t="e">
        <f>INDEX(TBL_Manually_added_tariffs[Cost (IF INVESTIGATION)],MATCH(Additional_Inv_Proc_Tariff_List,TBL_Manually_added_tariffs[Activity],0))</f>
        <v>#N/A</v>
      </c>
      <c r="F579" s="181"/>
    </row>
    <row r="580" spans="1:6" hidden="1" x14ac:dyDescent="0.2">
      <c r="A580" s="38" t="e">
        <f>INDEX(Non_Tariff_Cost,MATCH(0,INDEX(COUNTIF($A$205:A579,Non_Tariff_Cost),0,0),0))</f>
        <v>#N/A</v>
      </c>
      <c r="B580" s="288" t="e">
        <f>INDEX(TBL_Manually_added_tariffs[ActivityType],MATCH(Additional_Inv_Proc_Tariff_List,TBL_Manually_added_tariffs[Activity],0))</f>
        <v>#N/A</v>
      </c>
      <c r="C580" s="156"/>
      <c r="D580" s="156"/>
      <c r="E580" s="35" t="e">
        <f>INDEX(TBL_Manually_added_tariffs[Cost (IF INVESTIGATION)],MATCH(Additional_Inv_Proc_Tariff_List,TBL_Manually_added_tariffs[Activity],0))</f>
        <v>#N/A</v>
      </c>
      <c r="F580" s="181"/>
    </row>
    <row r="581" spans="1:6" hidden="1" x14ac:dyDescent="0.2">
      <c r="A581" s="38" t="e">
        <f>INDEX(Non_Tariff_Cost,MATCH(0,INDEX(COUNTIF($A$205:A580,Non_Tariff_Cost),0,0),0))</f>
        <v>#N/A</v>
      </c>
      <c r="B581" s="288" t="e">
        <f>INDEX(TBL_Manually_added_tariffs[ActivityType],MATCH(Additional_Inv_Proc_Tariff_List,TBL_Manually_added_tariffs[Activity],0))</f>
        <v>#N/A</v>
      </c>
      <c r="C581" s="156"/>
      <c r="D581" s="156"/>
      <c r="E581" s="35" t="e">
        <f>INDEX(TBL_Manually_added_tariffs[Cost (IF INVESTIGATION)],MATCH(Additional_Inv_Proc_Tariff_List,TBL_Manually_added_tariffs[Activity],0))</f>
        <v>#N/A</v>
      </c>
      <c r="F581" s="181"/>
    </row>
    <row r="582" spans="1:6" hidden="1" x14ac:dyDescent="0.2">
      <c r="A582" s="38" t="e">
        <f>INDEX(Non_Tariff_Cost,MATCH(0,INDEX(COUNTIF($A$205:A581,Non_Tariff_Cost),0,0),0))</f>
        <v>#N/A</v>
      </c>
      <c r="B582" s="288" t="e">
        <f>INDEX(TBL_Manually_added_tariffs[ActivityType],MATCH(Additional_Inv_Proc_Tariff_List,TBL_Manually_added_tariffs[Activity],0))</f>
        <v>#N/A</v>
      </c>
      <c r="C582" s="156"/>
      <c r="D582" s="156"/>
      <c r="E582" s="35" t="e">
        <f>INDEX(TBL_Manually_added_tariffs[Cost (IF INVESTIGATION)],MATCH(Additional_Inv_Proc_Tariff_List,TBL_Manually_added_tariffs[Activity],0))</f>
        <v>#N/A</v>
      </c>
      <c r="F582" s="181"/>
    </row>
    <row r="583" spans="1:6" hidden="1" x14ac:dyDescent="0.2">
      <c r="A583" s="38" t="e">
        <f>INDEX(Non_Tariff_Cost,MATCH(0,INDEX(COUNTIF($A$205:A582,Non_Tariff_Cost),0,0),0))</f>
        <v>#N/A</v>
      </c>
      <c r="B583" s="288" t="e">
        <f>INDEX(TBL_Manually_added_tariffs[ActivityType],MATCH(Additional_Inv_Proc_Tariff_List,TBL_Manually_added_tariffs[Activity],0))</f>
        <v>#N/A</v>
      </c>
      <c r="C583" s="156"/>
      <c r="D583" s="156"/>
      <c r="E583" s="35" t="e">
        <f>INDEX(TBL_Manually_added_tariffs[Cost (IF INVESTIGATION)],MATCH(Additional_Inv_Proc_Tariff_List,TBL_Manually_added_tariffs[Activity],0))</f>
        <v>#N/A</v>
      </c>
      <c r="F583" s="181"/>
    </row>
    <row r="584" spans="1:6" hidden="1" x14ac:dyDescent="0.2">
      <c r="A584" s="38" t="e">
        <f>INDEX(Non_Tariff_Cost,MATCH(0,INDEX(COUNTIF($A$205:A583,Non_Tariff_Cost),0,0),0))</f>
        <v>#N/A</v>
      </c>
      <c r="B584" s="288" t="e">
        <f>INDEX(TBL_Manually_added_tariffs[ActivityType],MATCH(Additional_Inv_Proc_Tariff_List,TBL_Manually_added_tariffs[Activity],0))</f>
        <v>#N/A</v>
      </c>
      <c r="C584" s="156"/>
      <c r="D584" s="156"/>
      <c r="E584" s="35" t="e">
        <f>INDEX(TBL_Manually_added_tariffs[Cost (IF INVESTIGATION)],MATCH(Additional_Inv_Proc_Tariff_List,TBL_Manually_added_tariffs[Activity],0))</f>
        <v>#N/A</v>
      </c>
      <c r="F584" s="181"/>
    </row>
    <row r="585" spans="1:6" hidden="1" x14ac:dyDescent="0.2">
      <c r="A585" s="38" t="e">
        <f>INDEX(Non_Tariff_Cost,MATCH(0,INDEX(COUNTIF($A$205:A584,Non_Tariff_Cost),0,0),0))</f>
        <v>#N/A</v>
      </c>
      <c r="B585" s="288" t="e">
        <f>INDEX(TBL_Manually_added_tariffs[ActivityType],MATCH(Additional_Inv_Proc_Tariff_List,TBL_Manually_added_tariffs[Activity],0))</f>
        <v>#N/A</v>
      </c>
      <c r="C585" s="156"/>
      <c r="D585" s="156"/>
      <c r="E585" s="35" t="e">
        <f>INDEX(TBL_Manually_added_tariffs[Cost (IF INVESTIGATION)],MATCH(Additional_Inv_Proc_Tariff_List,TBL_Manually_added_tariffs[Activity],0))</f>
        <v>#N/A</v>
      </c>
      <c r="F585" s="181"/>
    </row>
    <row r="586" spans="1:6" hidden="1" x14ac:dyDescent="0.2">
      <c r="A586" s="38" t="e">
        <f>INDEX(Non_Tariff_Cost,MATCH(0,INDEX(COUNTIF($A$205:A585,Non_Tariff_Cost),0,0),0))</f>
        <v>#N/A</v>
      </c>
      <c r="B586" s="288" t="e">
        <f>INDEX(TBL_Manually_added_tariffs[ActivityType],MATCH(Additional_Inv_Proc_Tariff_List,TBL_Manually_added_tariffs[Activity],0))</f>
        <v>#N/A</v>
      </c>
      <c r="C586" s="156"/>
      <c r="D586" s="156"/>
      <c r="E586" s="35" t="e">
        <f>INDEX(TBL_Manually_added_tariffs[Cost (IF INVESTIGATION)],MATCH(Additional_Inv_Proc_Tariff_List,TBL_Manually_added_tariffs[Activity],0))</f>
        <v>#N/A</v>
      </c>
      <c r="F586" s="181"/>
    </row>
    <row r="587" spans="1:6" hidden="1" x14ac:dyDescent="0.2">
      <c r="A587" s="38" t="e">
        <f>INDEX(Non_Tariff_Cost,MATCH(0,INDEX(COUNTIF($A$205:A586,Non_Tariff_Cost),0,0),0))</f>
        <v>#N/A</v>
      </c>
      <c r="B587" s="288" t="e">
        <f>INDEX(TBL_Manually_added_tariffs[ActivityType],MATCH(Additional_Inv_Proc_Tariff_List,TBL_Manually_added_tariffs[Activity],0))</f>
        <v>#N/A</v>
      </c>
      <c r="C587" s="156"/>
      <c r="D587" s="156"/>
      <c r="E587" s="35" t="e">
        <f>INDEX(TBL_Manually_added_tariffs[Cost (IF INVESTIGATION)],MATCH(Additional_Inv_Proc_Tariff_List,TBL_Manually_added_tariffs[Activity],0))</f>
        <v>#N/A</v>
      </c>
      <c r="F587" s="181"/>
    </row>
    <row r="588" spans="1:6" hidden="1" x14ac:dyDescent="0.2">
      <c r="A588" s="38" t="e">
        <f>INDEX(Non_Tariff_Cost,MATCH(0,INDEX(COUNTIF($A$205:A587,Non_Tariff_Cost),0,0),0))</f>
        <v>#N/A</v>
      </c>
      <c r="B588" s="288" t="e">
        <f>INDEX(TBL_Manually_added_tariffs[ActivityType],MATCH(Additional_Inv_Proc_Tariff_List,TBL_Manually_added_tariffs[Activity],0))</f>
        <v>#N/A</v>
      </c>
      <c r="C588" s="156"/>
      <c r="D588" s="156"/>
      <c r="E588" s="35" t="e">
        <f>INDEX(TBL_Manually_added_tariffs[Cost (IF INVESTIGATION)],MATCH(Additional_Inv_Proc_Tariff_List,TBL_Manually_added_tariffs[Activity],0))</f>
        <v>#N/A</v>
      </c>
      <c r="F588" s="181"/>
    </row>
    <row r="589" spans="1:6" hidden="1" x14ac:dyDescent="0.2">
      <c r="A589" s="38" t="e">
        <f>INDEX(Non_Tariff_Cost,MATCH(0,INDEX(COUNTIF($A$205:A588,Non_Tariff_Cost),0,0),0))</f>
        <v>#N/A</v>
      </c>
      <c r="B589" s="288" t="e">
        <f>INDEX(TBL_Manually_added_tariffs[ActivityType],MATCH(Additional_Inv_Proc_Tariff_List,TBL_Manually_added_tariffs[Activity],0))</f>
        <v>#N/A</v>
      </c>
      <c r="C589" s="156"/>
      <c r="D589" s="156"/>
      <c r="E589" s="35" t="e">
        <f>INDEX(TBL_Manually_added_tariffs[Cost (IF INVESTIGATION)],MATCH(Additional_Inv_Proc_Tariff_List,TBL_Manually_added_tariffs[Activity],0))</f>
        <v>#N/A</v>
      </c>
      <c r="F589" s="181"/>
    </row>
    <row r="590" spans="1:6" hidden="1" x14ac:dyDescent="0.2">
      <c r="A590" s="38" t="e">
        <f>INDEX(Non_Tariff_Cost,MATCH(0,INDEX(COUNTIF($A$205:A589,Non_Tariff_Cost),0,0),0))</f>
        <v>#N/A</v>
      </c>
      <c r="B590" s="288" t="e">
        <f>INDEX(TBL_Manually_added_tariffs[ActivityType],MATCH(Additional_Inv_Proc_Tariff_List,TBL_Manually_added_tariffs[Activity],0))</f>
        <v>#N/A</v>
      </c>
      <c r="C590" s="156"/>
      <c r="D590" s="156"/>
      <c r="E590" s="35" t="e">
        <f>INDEX(TBL_Manually_added_tariffs[Cost (IF INVESTIGATION)],MATCH(Additional_Inv_Proc_Tariff_List,TBL_Manually_added_tariffs[Activity],0))</f>
        <v>#N/A</v>
      </c>
      <c r="F590" s="181"/>
    </row>
    <row r="591" spans="1:6" hidden="1" x14ac:dyDescent="0.2">
      <c r="A591" s="38" t="e">
        <f>INDEX(Non_Tariff_Cost,MATCH(0,INDEX(COUNTIF($A$205:A590,Non_Tariff_Cost),0,0),0))</f>
        <v>#N/A</v>
      </c>
      <c r="B591" s="288" t="e">
        <f>INDEX(TBL_Manually_added_tariffs[ActivityType],MATCH(Additional_Inv_Proc_Tariff_List,TBL_Manually_added_tariffs[Activity],0))</f>
        <v>#N/A</v>
      </c>
      <c r="C591" s="156"/>
      <c r="D591" s="156"/>
      <c r="E591" s="35" t="e">
        <f>INDEX(TBL_Manually_added_tariffs[Cost (IF INVESTIGATION)],MATCH(Additional_Inv_Proc_Tariff_List,TBL_Manually_added_tariffs[Activity],0))</f>
        <v>#N/A</v>
      </c>
      <c r="F591" s="181"/>
    </row>
    <row r="592" spans="1:6" hidden="1" x14ac:dyDescent="0.2">
      <c r="A592" s="38" t="e">
        <f>INDEX(Non_Tariff_Cost,MATCH(0,INDEX(COUNTIF($A$205:A591,Non_Tariff_Cost),0,0),0))</f>
        <v>#N/A</v>
      </c>
      <c r="B592" s="288" t="e">
        <f>INDEX(TBL_Manually_added_tariffs[ActivityType],MATCH(Additional_Inv_Proc_Tariff_List,TBL_Manually_added_tariffs[Activity],0))</f>
        <v>#N/A</v>
      </c>
      <c r="C592" s="156"/>
      <c r="D592" s="156"/>
      <c r="E592" s="35" t="e">
        <f>INDEX(TBL_Manually_added_tariffs[Cost (IF INVESTIGATION)],MATCH(Additional_Inv_Proc_Tariff_List,TBL_Manually_added_tariffs[Activity],0))</f>
        <v>#N/A</v>
      </c>
      <c r="F592" s="181"/>
    </row>
    <row r="593" spans="1:6" hidden="1" x14ac:dyDescent="0.2">
      <c r="A593" s="38" t="e">
        <f>INDEX(Non_Tariff_Cost,MATCH(0,INDEX(COUNTIF($A$205:A592,Non_Tariff_Cost),0,0),0))</f>
        <v>#N/A</v>
      </c>
      <c r="B593" s="288" t="e">
        <f>INDEX(TBL_Manually_added_tariffs[ActivityType],MATCH(Additional_Inv_Proc_Tariff_List,TBL_Manually_added_tariffs[Activity],0))</f>
        <v>#N/A</v>
      </c>
      <c r="C593" s="156"/>
      <c r="D593" s="156"/>
      <c r="E593" s="35" t="e">
        <f>INDEX(TBL_Manually_added_tariffs[Cost (IF INVESTIGATION)],MATCH(Additional_Inv_Proc_Tariff_List,TBL_Manually_added_tariffs[Activity],0))</f>
        <v>#N/A</v>
      </c>
      <c r="F593" s="181"/>
    </row>
    <row r="594" spans="1:6" hidden="1" x14ac:dyDescent="0.2">
      <c r="A594" s="38" t="e">
        <f>INDEX(Non_Tariff_Cost,MATCH(0,INDEX(COUNTIF($A$205:A593,Non_Tariff_Cost),0,0),0))</f>
        <v>#N/A</v>
      </c>
      <c r="B594" s="288" t="e">
        <f>INDEX(TBL_Manually_added_tariffs[ActivityType],MATCH(Additional_Inv_Proc_Tariff_List,TBL_Manually_added_tariffs[Activity],0))</f>
        <v>#N/A</v>
      </c>
      <c r="C594" s="156"/>
      <c r="D594" s="156"/>
      <c r="E594" s="35" t="e">
        <f>INDEX(TBL_Manually_added_tariffs[Cost (IF INVESTIGATION)],MATCH(Additional_Inv_Proc_Tariff_List,TBL_Manually_added_tariffs[Activity],0))</f>
        <v>#N/A</v>
      </c>
      <c r="F594" s="181"/>
    </row>
    <row r="595" spans="1:6" hidden="1" x14ac:dyDescent="0.2">
      <c r="A595" s="38" t="e">
        <f>INDEX(Non_Tariff_Cost,MATCH(0,INDEX(COUNTIF($A$205:A594,Non_Tariff_Cost),0,0),0))</f>
        <v>#N/A</v>
      </c>
      <c r="B595" s="288" t="e">
        <f>INDEX(TBL_Manually_added_tariffs[ActivityType],MATCH(Additional_Inv_Proc_Tariff_List,TBL_Manually_added_tariffs[Activity],0))</f>
        <v>#N/A</v>
      </c>
      <c r="C595" s="156"/>
      <c r="D595" s="156"/>
      <c r="E595" s="35" t="e">
        <f>INDEX(TBL_Manually_added_tariffs[Cost (IF INVESTIGATION)],MATCH(Additional_Inv_Proc_Tariff_List,TBL_Manually_added_tariffs[Activity],0))</f>
        <v>#N/A</v>
      </c>
      <c r="F595" s="181"/>
    </row>
    <row r="596" spans="1:6" hidden="1" x14ac:dyDescent="0.2">
      <c r="A596" s="38" t="e">
        <f>INDEX(Non_Tariff_Cost,MATCH(0,INDEX(COUNTIF($A$205:A595,Non_Tariff_Cost),0,0),0))</f>
        <v>#N/A</v>
      </c>
      <c r="B596" s="288" t="e">
        <f>INDEX(TBL_Manually_added_tariffs[ActivityType],MATCH(Additional_Inv_Proc_Tariff_List,TBL_Manually_added_tariffs[Activity],0))</f>
        <v>#N/A</v>
      </c>
      <c r="C596" s="156"/>
      <c r="D596" s="156"/>
      <c r="E596" s="35" t="e">
        <f>INDEX(TBL_Manually_added_tariffs[Cost (IF INVESTIGATION)],MATCH(Additional_Inv_Proc_Tariff_List,TBL_Manually_added_tariffs[Activity],0))</f>
        <v>#N/A</v>
      </c>
      <c r="F596" s="181"/>
    </row>
    <row r="597" spans="1:6" hidden="1" x14ac:dyDescent="0.2">
      <c r="A597" s="38" t="e">
        <f>INDEX(Non_Tariff_Cost,MATCH(0,INDEX(COUNTIF($A$205:A596,Non_Tariff_Cost),0,0),0))</f>
        <v>#N/A</v>
      </c>
      <c r="B597" s="288" t="e">
        <f>INDEX(TBL_Manually_added_tariffs[ActivityType],MATCH(Additional_Inv_Proc_Tariff_List,TBL_Manually_added_tariffs[Activity],0))</f>
        <v>#N/A</v>
      </c>
      <c r="C597" s="156"/>
      <c r="D597" s="156"/>
      <c r="E597" s="35" t="e">
        <f>INDEX(TBL_Manually_added_tariffs[Cost (IF INVESTIGATION)],MATCH(Additional_Inv_Proc_Tariff_List,TBL_Manually_added_tariffs[Activity],0))</f>
        <v>#N/A</v>
      </c>
      <c r="F597" s="181"/>
    </row>
    <row r="598" spans="1:6" hidden="1" x14ac:dyDescent="0.2">
      <c r="A598" s="38" t="e">
        <f>INDEX(Non_Tariff_Cost,MATCH(0,INDEX(COUNTIF($A$205:A597,Non_Tariff_Cost),0,0),0))</f>
        <v>#N/A</v>
      </c>
      <c r="B598" s="288" t="e">
        <f>INDEX(TBL_Manually_added_tariffs[ActivityType],MATCH(Additional_Inv_Proc_Tariff_List,TBL_Manually_added_tariffs[Activity],0))</f>
        <v>#N/A</v>
      </c>
      <c r="C598" s="156"/>
      <c r="D598" s="156"/>
      <c r="E598" s="35" t="e">
        <f>INDEX(TBL_Manually_added_tariffs[Cost (IF INVESTIGATION)],MATCH(Additional_Inv_Proc_Tariff_List,TBL_Manually_added_tariffs[Activity],0))</f>
        <v>#N/A</v>
      </c>
      <c r="F598" s="181"/>
    </row>
    <row r="599" spans="1:6" hidden="1" x14ac:dyDescent="0.2">
      <c r="A599" s="38" t="e">
        <f>INDEX(Non_Tariff_Cost,MATCH(0,INDEX(COUNTIF($A$205:A598,Non_Tariff_Cost),0,0),0))</f>
        <v>#N/A</v>
      </c>
      <c r="B599" s="288" t="e">
        <f>INDEX(TBL_Manually_added_tariffs[ActivityType],MATCH(Additional_Inv_Proc_Tariff_List,TBL_Manually_added_tariffs[Activity],0))</f>
        <v>#N/A</v>
      </c>
      <c r="C599" s="156"/>
      <c r="D599" s="156"/>
      <c r="E599" s="35" t="e">
        <f>INDEX(TBL_Manually_added_tariffs[Cost (IF INVESTIGATION)],MATCH(Additional_Inv_Proc_Tariff_List,TBL_Manually_added_tariffs[Activity],0))</f>
        <v>#N/A</v>
      </c>
      <c r="F599" s="181"/>
    </row>
    <row r="600" spans="1:6" hidden="1" x14ac:dyDescent="0.2">
      <c r="A600" s="38" t="e">
        <f>INDEX(Non_Tariff_Cost,MATCH(0,INDEX(COUNTIF($A$205:A599,Non_Tariff_Cost),0,0),0))</f>
        <v>#N/A</v>
      </c>
      <c r="B600" s="288" t="e">
        <f>INDEX(TBL_Manually_added_tariffs[ActivityType],MATCH(Additional_Inv_Proc_Tariff_List,TBL_Manually_added_tariffs[Activity],0))</f>
        <v>#N/A</v>
      </c>
      <c r="C600" s="156"/>
      <c r="D600" s="156"/>
      <c r="E600" s="35" t="e">
        <f>INDEX(TBL_Manually_added_tariffs[Cost (IF INVESTIGATION)],MATCH(Additional_Inv_Proc_Tariff_List,TBL_Manually_added_tariffs[Activity],0))</f>
        <v>#N/A</v>
      </c>
      <c r="F600" s="181"/>
    </row>
    <row r="601" spans="1:6" hidden="1" x14ac:dyDescent="0.2">
      <c r="A601" s="38" t="e">
        <f>INDEX(Non_Tariff_Cost,MATCH(0,INDEX(COUNTIF($A$205:A600,Non_Tariff_Cost),0,0),0))</f>
        <v>#N/A</v>
      </c>
      <c r="B601" s="288" t="e">
        <f>INDEX(TBL_Manually_added_tariffs[ActivityType],MATCH(Additional_Inv_Proc_Tariff_List,TBL_Manually_added_tariffs[Activity],0))</f>
        <v>#N/A</v>
      </c>
      <c r="C601" s="156"/>
      <c r="D601" s="156"/>
      <c r="E601" s="35" t="e">
        <f>INDEX(TBL_Manually_added_tariffs[Cost (IF INVESTIGATION)],MATCH(Additional_Inv_Proc_Tariff_List,TBL_Manually_added_tariffs[Activity],0))</f>
        <v>#N/A</v>
      </c>
      <c r="F601" s="181"/>
    </row>
    <row r="602" spans="1:6" hidden="1" x14ac:dyDescent="0.2">
      <c r="A602" s="38" t="e">
        <f>INDEX(Non_Tariff_Cost,MATCH(0,INDEX(COUNTIF($A$205:A601,Non_Tariff_Cost),0,0),0))</f>
        <v>#N/A</v>
      </c>
      <c r="B602" s="288" t="e">
        <f>INDEX(TBL_Manually_added_tariffs[ActivityType],MATCH(Additional_Inv_Proc_Tariff_List,TBL_Manually_added_tariffs[Activity],0))</f>
        <v>#N/A</v>
      </c>
      <c r="C602" s="156"/>
      <c r="D602" s="156"/>
      <c r="E602" s="35" t="e">
        <f>INDEX(TBL_Manually_added_tariffs[Cost (IF INVESTIGATION)],MATCH(Additional_Inv_Proc_Tariff_List,TBL_Manually_added_tariffs[Activity],0))</f>
        <v>#N/A</v>
      </c>
      <c r="F602" s="181"/>
    </row>
    <row r="603" spans="1:6" hidden="1" x14ac:dyDescent="0.2">
      <c r="A603" s="38" t="e">
        <f>INDEX(Non_Tariff_Cost,MATCH(0,INDEX(COUNTIF($A$205:A602,Non_Tariff_Cost),0,0),0))</f>
        <v>#N/A</v>
      </c>
      <c r="B603" s="288" t="e">
        <f>INDEX(TBL_Manually_added_tariffs[ActivityType],MATCH(Additional_Inv_Proc_Tariff_List,TBL_Manually_added_tariffs[Activity],0))</f>
        <v>#N/A</v>
      </c>
      <c r="C603" s="156"/>
      <c r="D603" s="156"/>
      <c r="E603" s="35" t="e">
        <f>INDEX(TBL_Manually_added_tariffs[Cost (IF INVESTIGATION)],MATCH(Additional_Inv_Proc_Tariff_List,TBL_Manually_added_tariffs[Activity],0))</f>
        <v>#N/A</v>
      </c>
      <c r="F603" s="181"/>
    </row>
    <row r="604" spans="1:6" hidden="1" x14ac:dyDescent="0.2">
      <c r="A604" s="38" t="e">
        <f>INDEX(Non_Tariff_Cost,MATCH(0,INDEX(COUNTIF($A$205:A603,Non_Tariff_Cost),0,0),0))</f>
        <v>#N/A</v>
      </c>
      <c r="B604" s="288" t="e">
        <f>INDEX(TBL_Manually_added_tariffs[ActivityType],MATCH(Additional_Inv_Proc_Tariff_List,TBL_Manually_added_tariffs[Activity],0))</f>
        <v>#N/A</v>
      </c>
      <c r="C604" s="156"/>
      <c r="D604" s="156"/>
      <c r="E604" s="35" t="e">
        <f>INDEX(TBL_Manually_added_tariffs[Cost (IF INVESTIGATION)],MATCH(Additional_Inv_Proc_Tariff_List,TBL_Manually_added_tariffs[Activity],0))</f>
        <v>#N/A</v>
      </c>
      <c r="F604" s="181"/>
    </row>
    <row r="605" spans="1:6" hidden="1" x14ac:dyDescent="0.2">
      <c r="A605" s="38" t="e">
        <f>INDEX(Non_Tariff_Cost,MATCH(0,INDEX(COUNTIF($A$205:A604,Non_Tariff_Cost),0,0),0))</f>
        <v>#N/A</v>
      </c>
      <c r="B605" s="288" t="e">
        <f>INDEX(TBL_Manually_added_tariffs[ActivityType],MATCH(Additional_Inv_Proc_Tariff_List,TBL_Manually_added_tariffs[Activity],0))</f>
        <v>#N/A</v>
      </c>
      <c r="C605" s="156"/>
      <c r="D605" s="156"/>
      <c r="E605" s="35" t="e">
        <f>INDEX(TBL_Manually_added_tariffs[Cost (IF INVESTIGATION)],MATCH(Additional_Inv_Proc_Tariff_List,TBL_Manually_added_tariffs[Activity],0))</f>
        <v>#N/A</v>
      </c>
      <c r="F605" s="181"/>
    </row>
    <row r="606" spans="1:6" hidden="1" x14ac:dyDescent="0.2">
      <c r="A606" s="38" t="e">
        <f>INDEX(Non_Tariff_Cost,MATCH(0,INDEX(COUNTIF($A$205:A605,Non_Tariff_Cost),0,0),0))</f>
        <v>#N/A</v>
      </c>
      <c r="B606" s="288" t="e">
        <f>INDEX(TBL_Manually_added_tariffs[ActivityType],MATCH(Additional_Inv_Proc_Tariff_List,TBL_Manually_added_tariffs[Activity],0))</f>
        <v>#N/A</v>
      </c>
      <c r="C606" s="156"/>
      <c r="D606" s="156"/>
      <c r="E606" s="35" t="e">
        <f>INDEX(TBL_Manually_added_tariffs[Cost (IF INVESTIGATION)],MATCH(Additional_Inv_Proc_Tariff_List,TBL_Manually_added_tariffs[Activity],0))</f>
        <v>#N/A</v>
      </c>
      <c r="F606" s="181"/>
    </row>
    <row r="607" spans="1:6" hidden="1" x14ac:dyDescent="0.2">
      <c r="A607" s="38" t="e">
        <f>INDEX(Non_Tariff_Cost,MATCH(0,INDEX(COUNTIF($A$205:A606,Non_Tariff_Cost),0,0),0))</f>
        <v>#N/A</v>
      </c>
      <c r="B607" s="288" t="e">
        <f>INDEX(TBL_Manually_added_tariffs[ActivityType],MATCH(Additional_Inv_Proc_Tariff_List,TBL_Manually_added_tariffs[Activity],0))</f>
        <v>#N/A</v>
      </c>
      <c r="C607" s="156"/>
      <c r="D607" s="156"/>
      <c r="E607" s="35" t="e">
        <f>INDEX(TBL_Manually_added_tariffs[Cost (IF INVESTIGATION)],MATCH(Additional_Inv_Proc_Tariff_List,TBL_Manually_added_tariffs[Activity],0))</f>
        <v>#N/A</v>
      </c>
      <c r="F607" s="181"/>
    </row>
    <row r="608" spans="1:6" hidden="1" x14ac:dyDescent="0.2">
      <c r="A608" s="38" t="e">
        <f>INDEX(Non_Tariff_Cost,MATCH(0,INDEX(COUNTIF($A$205:A607,Non_Tariff_Cost),0,0),0))</f>
        <v>#N/A</v>
      </c>
      <c r="B608" s="288" t="e">
        <f>INDEX(TBL_Manually_added_tariffs[ActivityType],MATCH(Additional_Inv_Proc_Tariff_List,TBL_Manually_added_tariffs[Activity],0))</f>
        <v>#N/A</v>
      </c>
      <c r="C608" s="156"/>
      <c r="D608" s="156"/>
      <c r="E608" s="35" t="e">
        <f>INDEX(TBL_Manually_added_tariffs[Cost (IF INVESTIGATION)],MATCH(Additional_Inv_Proc_Tariff_List,TBL_Manually_added_tariffs[Activity],0))</f>
        <v>#N/A</v>
      </c>
      <c r="F608" s="181"/>
    </row>
    <row r="609" spans="1:6" hidden="1" x14ac:dyDescent="0.2">
      <c r="A609" s="38" t="e">
        <f>INDEX(Non_Tariff_Cost,MATCH(0,INDEX(COUNTIF($A$205:A608,Non_Tariff_Cost),0,0),0))</f>
        <v>#N/A</v>
      </c>
      <c r="B609" s="288" t="e">
        <f>INDEX(TBL_Manually_added_tariffs[ActivityType],MATCH(Additional_Inv_Proc_Tariff_List,TBL_Manually_added_tariffs[Activity],0))</f>
        <v>#N/A</v>
      </c>
      <c r="C609" s="156"/>
      <c r="D609" s="156"/>
      <c r="E609" s="35" t="e">
        <f>INDEX(TBL_Manually_added_tariffs[Cost (IF INVESTIGATION)],MATCH(Additional_Inv_Proc_Tariff_List,TBL_Manually_added_tariffs[Activity],0))</f>
        <v>#N/A</v>
      </c>
      <c r="F609" s="181"/>
    </row>
    <row r="610" spans="1:6" hidden="1" x14ac:dyDescent="0.2">
      <c r="A610" s="38" t="e">
        <f>INDEX(Non_Tariff_Cost,MATCH(0,INDEX(COUNTIF($A$205:A609,Non_Tariff_Cost),0,0),0))</f>
        <v>#N/A</v>
      </c>
      <c r="B610" s="288" t="e">
        <f>INDEX(TBL_Manually_added_tariffs[ActivityType],MATCH(Additional_Inv_Proc_Tariff_List,TBL_Manually_added_tariffs[Activity],0))</f>
        <v>#N/A</v>
      </c>
      <c r="C610" s="156"/>
      <c r="D610" s="156"/>
      <c r="E610" s="35" t="e">
        <f>INDEX(TBL_Manually_added_tariffs[Cost (IF INVESTIGATION)],MATCH(Additional_Inv_Proc_Tariff_List,TBL_Manually_added_tariffs[Activity],0))</f>
        <v>#N/A</v>
      </c>
      <c r="F610" s="181"/>
    </row>
    <row r="611" spans="1:6" hidden="1" x14ac:dyDescent="0.2">
      <c r="A611" s="38" t="e">
        <f>INDEX(Non_Tariff_Cost,MATCH(0,INDEX(COUNTIF($A$205:A610,Non_Tariff_Cost),0,0),0))</f>
        <v>#N/A</v>
      </c>
      <c r="B611" s="288" t="e">
        <f>INDEX(TBL_Manually_added_tariffs[ActivityType],MATCH(Additional_Inv_Proc_Tariff_List,TBL_Manually_added_tariffs[Activity],0))</f>
        <v>#N/A</v>
      </c>
      <c r="C611" s="156"/>
      <c r="D611" s="156"/>
      <c r="E611" s="35" t="e">
        <f>INDEX(TBL_Manually_added_tariffs[Cost (IF INVESTIGATION)],MATCH(Additional_Inv_Proc_Tariff_List,TBL_Manually_added_tariffs[Activity],0))</f>
        <v>#N/A</v>
      </c>
      <c r="F611" s="181"/>
    </row>
    <row r="612" spans="1:6" hidden="1" x14ac:dyDescent="0.2">
      <c r="A612" s="38" t="e">
        <f>INDEX(Non_Tariff_Cost,MATCH(0,INDEX(COUNTIF($A$205:A611,Non_Tariff_Cost),0,0),0))</f>
        <v>#N/A</v>
      </c>
      <c r="B612" s="288" t="e">
        <f>INDEX(TBL_Manually_added_tariffs[ActivityType],MATCH(Additional_Inv_Proc_Tariff_List,TBL_Manually_added_tariffs[Activity],0))</f>
        <v>#N/A</v>
      </c>
      <c r="C612" s="156"/>
      <c r="D612" s="156"/>
      <c r="E612" s="35" t="e">
        <f>INDEX(TBL_Manually_added_tariffs[Cost (IF INVESTIGATION)],MATCH(Additional_Inv_Proc_Tariff_List,TBL_Manually_added_tariffs[Activity],0))</f>
        <v>#N/A</v>
      </c>
      <c r="F612" s="181"/>
    </row>
    <row r="613" spans="1:6" hidden="1" x14ac:dyDescent="0.2">
      <c r="A613" s="38" t="e">
        <f>INDEX(Non_Tariff_Cost,MATCH(0,INDEX(COUNTIF($A$205:A612,Non_Tariff_Cost),0,0),0))</f>
        <v>#N/A</v>
      </c>
      <c r="B613" s="288" t="e">
        <f>INDEX(TBL_Manually_added_tariffs[ActivityType],MATCH(Additional_Inv_Proc_Tariff_List,TBL_Manually_added_tariffs[Activity],0))</f>
        <v>#N/A</v>
      </c>
      <c r="C613" s="156"/>
      <c r="D613" s="156"/>
      <c r="E613" s="35" t="e">
        <f>INDEX(TBL_Manually_added_tariffs[Cost (IF INVESTIGATION)],MATCH(Additional_Inv_Proc_Tariff_List,TBL_Manually_added_tariffs[Activity],0))</f>
        <v>#N/A</v>
      </c>
      <c r="F613" s="181"/>
    </row>
    <row r="614" spans="1:6" hidden="1" x14ac:dyDescent="0.2">
      <c r="A614" s="38" t="e">
        <f>INDEX(Non_Tariff_Cost,MATCH(0,INDEX(COUNTIF($A$205:A613,Non_Tariff_Cost),0,0),0))</f>
        <v>#N/A</v>
      </c>
      <c r="B614" s="288" t="e">
        <f>INDEX(TBL_Manually_added_tariffs[ActivityType],MATCH(Additional_Inv_Proc_Tariff_List,TBL_Manually_added_tariffs[Activity],0))</f>
        <v>#N/A</v>
      </c>
      <c r="C614" s="156"/>
      <c r="D614" s="156"/>
      <c r="E614" s="35" t="e">
        <f>INDEX(TBL_Manually_added_tariffs[Cost (IF INVESTIGATION)],MATCH(Additional_Inv_Proc_Tariff_List,TBL_Manually_added_tariffs[Activity],0))</f>
        <v>#N/A</v>
      </c>
      <c r="F614" s="181"/>
    </row>
    <row r="615" spans="1:6" hidden="1" x14ac:dyDescent="0.2">
      <c r="A615" s="38" t="e">
        <f>INDEX(Non_Tariff_Cost,MATCH(0,INDEX(COUNTIF($A$205:A614,Non_Tariff_Cost),0,0),0))</f>
        <v>#N/A</v>
      </c>
      <c r="B615" s="288" t="e">
        <f>INDEX(TBL_Manually_added_tariffs[ActivityType],MATCH(Additional_Inv_Proc_Tariff_List,TBL_Manually_added_tariffs[Activity],0))</f>
        <v>#N/A</v>
      </c>
      <c r="C615" s="156"/>
      <c r="D615" s="156"/>
      <c r="E615" s="35" t="e">
        <f>INDEX(TBL_Manually_added_tariffs[Cost (IF INVESTIGATION)],MATCH(Additional_Inv_Proc_Tariff_List,TBL_Manually_added_tariffs[Activity],0))</f>
        <v>#N/A</v>
      </c>
      <c r="F615" s="181"/>
    </row>
    <row r="616" spans="1:6" hidden="1" x14ac:dyDescent="0.2">
      <c r="A616" s="38" t="e">
        <f>INDEX(Non_Tariff_Cost,MATCH(0,INDEX(COUNTIF($A$205:A615,Non_Tariff_Cost),0,0),0))</f>
        <v>#N/A</v>
      </c>
      <c r="B616" s="288" t="e">
        <f>INDEX(TBL_Manually_added_tariffs[ActivityType],MATCH(Additional_Inv_Proc_Tariff_List,TBL_Manually_added_tariffs[Activity],0))</f>
        <v>#N/A</v>
      </c>
      <c r="C616" s="156"/>
      <c r="D616" s="156"/>
      <c r="E616" s="35" t="e">
        <f>INDEX(TBL_Manually_added_tariffs[Cost (IF INVESTIGATION)],MATCH(Additional_Inv_Proc_Tariff_List,TBL_Manually_added_tariffs[Activity],0))</f>
        <v>#N/A</v>
      </c>
      <c r="F616" s="181"/>
    </row>
    <row r="617" spans="1:6" hidden="1" x14ac:dyDescent="0.2">
      <c r="A617" s="38" t="e">
        <f>INDEX(Non_Tariff_Cost,MATCH(0,INDEX(COUNTIF($A$205:A616,Non_Tariff_Cost),0,0),0))</f>
        <v>#N/A</v>
      </c>
      <c r="B617" s="288" t="e">
        <f>INDEX(TBL_Manually_added_tariffs[ActivityType],MATCH(Additional_Inv_Proc_Tariff_List,TBL_Manually_added_tariffs[Activity],0))</f>
        <v>#N/A</v>
      </c>
      <c r="C617" s="156"/>
      <c r="D617" s="156"/>
      <c r="E617" s="35" t="e">
        <f>INDEX(TBL_Manually_added_tariffs[Cost (IF INVESTIGATION)],MATCH(Additional_Inv_Proc_Tariff_List,TBL_Manually_added_tariffs[Activity],0))</f>
        <v>#N/A</v>
      </c>
      <c r="F617" s="181"/>
    </row>
    <row r="618" spans="1:6" hidden="1" x14ac:dyDescent="0.2">
      <c r="A618" s="38" t="e">
        <f>INDEX(Non_Tariff_Cost,MATCH(0,INDEX(COUNTIF($A$205:A617,Non_Tariff_Cost),0,0),0))</f>
        <v>#N/A</v>
      </c>
      <c r="B618" s="288" t="e">
        <f>INDEX(TBL_Manually_added_tariffs[ActivityType],MATCH(Additional_Inv_Proc_Tariff_List,TBL_Manually_added_tariffs[Activity],0))</f>
        <v>#N/A</v>
      </c>
      <c r="C618" s="156"/>
      <c r="D618" s="156"/>
      <c r="E618" s="35" t="e">
        <f>INDEX(TBL_Manually_added_tariffs[Cost (IF INVESTIGATION)],MATCH(Additional_Inv_Proc_Tariff_List,TBL_Manually_added_tariffs[Activity],0))</f>
        <v>#N/A</v>
      </c>
      <c r="F618" s="181"/>
    </row>
    <row r="619" spans="1:6" hidden="1" x14ac:dyDescent="0.2">
      <c r="A619" s="38" t="e">
        <f>INDEX(Non_Tariff_Cost,MATCH(0,INDEX(COUNTIF($A$205:A618,Non_Tariff_Cost),0,0),0))</f>
        <v>#N/A</v>
      </c>
      <c r="B619" s="288" t="e">
        <f>INDEX(TBL_Manually_added_tariffs[ActivityType],MATCH(Additional_Inv_Proc_Tariff_List,TBL_Manually_added_tariffs[Activity],0))</f>
        <v>#N/A</v>
      </c>
      <c r="C619" s="156"/>
      <c r="D619" s="156"/>
      <c r="E619" s="35" t="e">
        <f>INDEX(TBL_Manually_added_tariffs[Cost (IF INVESTIGATION)],MATCH(Additional_Inv_Proc_Tariff_List,TBL_Manually_added_tariffs[Activity],0))</f>
        <v>#N/A</v>
      </c>
      <c r="F619" s="181"/>
    </row>
    <row r="620" spans="1:6" hidden="1" x14ac:dyDescent="0.2">
      <c r="A620" s="38" t="e">
        <f>INDEX(Non_Tariff_Cost,MATCH(0,INDEX(COUNTIF($A$205:A619,Non_Tariff_Cost),0,0),0))</f>
        <v>#N/A</v>
      </c>
      <c r="B620" s="288" t="e">
        <f>INDEX(TBL_Manually_added_tariffs[ActivityType],MATCH(Additional_Inv_Proc_Tariff_List,TBL_Manually_added_tariffs[Activity],0))</f>
        <v>#N/A</v>
      </c>
      <c r="C620" s="156"/>
      <c r="D620" s="156"/>
      <c r="E620" s="35" t="e">
        <f>INDEX(TBL_Manually_added_tariffs[Cost (IF INVESTIGATION)],MATCH(Additional_Inv_Proc_Tariff_List,TBL_Manually_added_tariffs[Activity],0))</f>
        <v>#N/A</v>
      </c>
      <c r="F620" s="181"/>
    </row>
    <row r="621" spans="1:6" hidden="1" x14ac:dyDescent="0.2">
      <c r="A621" s="38" t="e">
        <f>INDEX(Non_Tariff_Cost,MATCH(0,INDEX(COUNTIF($A$205:A620,Non_Tariff_Cost),0,0),0))</f>
        <v>#N/A</v>
      </c>
      <c r="B621" s="288" t="e">
        <f>INDEX(TBL_Manually_added_tariffs[ActivityType],MATCH(Additional_Inv_Proc_Tariff_List,TBL_Manually_added_tariffs[Activity],0))</f>
        <v>#N/A</v>
      </c>
      <c r="C621" s="156"/>
      <c r="D621" s="156"/>
      <c r="E621" s="35" t="e">
        <f>INDEX(TBL_Manually_added_tariffs[Cost (IF INVESTIGATION)],MATCH(Additional_Inv_Proc_Tariff_List,TBL_Manually_added_tariffs[Activity],0))</f>
        <v>#N/A</v>
      </c>
      <c r="F621" s="181"/>
    </row>
    <row r="622" spans="1:6" hidden="1" x14ac:dyDescent="0.2">
      <c r="A622" s="38" t="e">
        <f>INDEX(Non_Tariff_Cost,MATCH(0,INDEX(COUNTIF($A$205:A621,Non_Tariff_Cost),0,0),0))</f>
        <v>#N/A</v>
      </c>
      <c r="B622" s="288" t="e">
        <f>INDEX(TBL_Manually_added_tariffs[ActivityType],MATCH(Additional_Inv_Proc_Tariff_List,TBL_Manually_added_tariffs[Activity],0))</f>
        <v>#N/A</v>
      </c>
      <c r="C622" s="156"/>
      <c r="D622" s="156"/>
      <c r="E622" s="35" t="e">
        <f>INDEX(TBL_Manually_added_tariffs[Cost (IF INVESTIGATION)],MATCH(Additional_Inv_Proc_Tariff_List,TBL_Manually_added_tariffs[Activity],0))</f>
        <v>#N/A</v>
      </c>
      <c r="F622" s="181"/>
    </row>
    <row r="623" spans="1:6" hidden="1" x14ac:dyDescent="0.2">
      <c r="A623" s="38" t="e">
        <f>INDEX(Non_Tariff_Cost,MATCH(0,INDEX(COUNTIF($A$205:A622,Non_Tariff_Cost),0,0),0))</f>
        <v>#N/A</v>
      </c>
      <c r="B623" s="288" t="e">
        <f>INDEX(TBL_Manually_added_tariffs[ActivityType],MATCH(Additional_Inv_Proc_Tariff_List,TBL_Manually_added_tariffs[Activity],0))</f>
        <v>#N/A</v>
      </c>
      <c r="C623" s="156"/>
      <c r="D623" s="156"/>
      <c r="E623" s="35" t="e">
        <f>INDEX(TBL_Manually_added_tariffs[Cost (IF INVESTIGATION)],MATCH(Additional_Inv_Proc_Tariff_List,TBL_Manually_added_tariffs[Activity],0))</f>
        <v>#N/A</v>
      </c>
      <c r="F623" s="181"/>
    </row>
    <row r="624" spans="1:6" hidden="1" x14ac:dyDescent="0.2">
      <c r="A624" s="38" t="e">
        <f>INDEX(Non_Tariff_Cost,MATCH(0,INDEX(COUNTIF($A$205:A623,Non_Tariff_Cost),0,0),0))</f>
        <v>#N/A</v>
      </c>
      <c r="B624" s="288" t="e">
        <f>INDEX(TBL_Manually_added_tariffs[ActivityType],MATCH(Additional_Inv_Proc_Tariff_List,TBL_Manually_added_tariffs[Activity],0))</f>
        <v>#N/A</v>
      </c>
      <c r="C624" s="156"/>
      <c r="D624" s="156"/>
      <c r="E624" s="35" t="e">
        <f>INDEX(TBL_Manually_added_tariffs[Cost (IF INVESTIGATION)],MATCH(Additional_Inv_Proc_Tariff_List,TBL_Manually_added_tariffs[Activity],0))</f>
        <v>#N/A</v>
      </c>
      <c r="F624" s="181"/>
    </row>
    <row r="625" spans="1:6" hidden="1" x14ac:dyDescent="0.2">
      <c r="A625" s="38" t="e">
        <f>INDEX(Non_Tariff_Cost,MATCH(0,INDEX(COUNTIF($A$205:A624,Non_Tariff_Cost),0,0),0))</f>
        <v>#N/A</v>
      </c>
      <c r="B625" s="288" t="e">
        <f>INDEX(TBL_Manually_added_tariffs[ActivityType],MATCH(Additional_Inv_Proc_Tariff_List,TBL_Manually_added_tariffs[Activity],0))</f>
        <v>#N/A</v>
      </c>
      <c r="C625" s="156"/>
      <c r="D625" s="156"/>
      <c r="E625" s="35" t="e">
        <f>INDEX(TBL_Manually_added_tariffs[Cost (IF INVESTIGATION)],MATCH(Additional_Inv_Proc_Tariff_List,TBL_Manually_added_tariffs[Activity],0))</f>
        <v>#N/A</v>
      </c>
      <c r="F625" s="181"/>
    </row>
    <row r="626" spans="1:6" hidden="1" x14ac:dyDescent="0.2">
      <c r="A626" s="38" t="e">
        <f>INDEX(Non_Tariff_Cost,MATCH(0,INDEX(COUNTIF($A$205:A625,Non_Tariff_Cost),0,0),0))</f>
        <v>#N/A</v>
      </c>
      <c r="B626" s="288" t="e">
        <f>INDEX(TBL_Manually_added_tariffs[ActivityType],MATCH(Additional_Inv_Proc_Tariff_List,TBL_Manually_added_tariffs[Activity],0))</f>
        <v>#N/A</v>
      </c>
      <c r="C626" s="156"/>
      <c r="D626" s="156"/>
      <c r="E626" s="35" t="e">
        <f>INDEX(TBL_Manually_added_tariffs[Cost (IF INVESTIGATION)],MATCH(Additional_Inv_Proc_Tariff_List,TBL_Manually_added_tariffs[Activity],0))</f>
        <v>#N/A</v>
      </c>
      <c r="F626" s="181"/>
    </row>
    <row r="627" spans="1:6" hidden="1" x14ac:dyDescent="0.2">
      <c r="A627" s="38" t="e">
        <f>INDEX(Non_Tariff_Cost,MATCH(0,INDEX(COUNTIF($A$205:A626,Non_Tariff_Cost),0,0),0))</f>
        <v>#N/A</v>
      </c>
      <c r="B627" s="288" t="e">
        <f>INDEX(TBL_Manually_added_tariffs[ActivityType],MATCH(Additional_Inv_Proc_Tariff_List,TBL_Manually_added_tariffs[Activity],0))</f>
        <v>#N/A</v>
      </c>
      <c r="C627" s="156"/>
      <c r="D627" s="156"/>
      <c r="E627" s="35" t="e">
        <f>INDEX(TBL_Manually_added_tariffs[Cost (IF INVESTIGATION)],MATCH(Additional_Inv_Proc_Tariff_List,TBL_Manually_added_tariffs[Activity],0))</f>
        <v>#N/A</v>
      </c>
      <c r="F627" s="181"/>
    </row>
    <row r="628" spans="1:6" hidden="1" x14ac:dyDescent="0.2">
      <c r="A628" s="38" t="e">
        <f>INDEX(Non_Tariff_Cost,MATCH(0,INDEX(COUNTIF($A$205:A627,Non_Tariff_Cost),0,0),0))</f>
        <v>#N/A</v>
      </c>
      <c r="B628" s="288" t="e">
        <f>INDEX(TBL_Manually_added_tariffs[ActivityType],MATCH(Additional_Inv_Proc_Tariff_List,TBL_Manually_added_tariffs[Activity],0))</f>
        <v>#N/A</v>
      </c>
      <c r="C628" s="156"/>
      <c r="D628" s="156"/>
      <c r="E628" s="35" t="e">
        <f>INDEX(TBL_Manually_added_tariffs[Cost (IF INVESTIGATION)],MATCH(Additional_Inv_Proc_Tariff_List,TBL_Manually_added_tariffs[Activity],0))</f>
        <v>#N/A</v>
      </c>
      <c r="F628" s="181"/>
    </row>
    <row r="629" spans="1:6" hidden="1" x14ac:dyDescent="0.2">
      <c r="A629" s="38" t="e">
        <f>INDEX(Non_Tariff_Cost,MATCH(0,INDEX(COUNTIF($A$205:A628,Non_Tariff_Cost),0,0),0))</f>
        <v>#N/A</v>
      </c>
      <c r="B629" s="288" t="e">
        <f>INDEX(TBL_Manually_added_tariffs[ActivityType],MATCH(Additional_Inv_Proc_Tariff_List,TBL_Manually_added_tariffs[Activity],0))</f>
        <v>#N/A</v>
      </c>
      <c r="C629" s="156"/>
      <c r="D629" s="156"/>
      <c r="E629" s="35" t="e">
        <f>INDEX(TBL_Manually_added_tariffs[Cost (IF INVESTIGATION)],MATCH(Additional_Inv_Proc_Tariff_List,TBL_Manually_added_tariffs[Activity],0))</f>
        <v>#N/A</v>
      </c>
      <c r="F629" s="181"/>
    </row>
    <row r="630" spans="1:6" hidden="1" x14ac:dyDescent="0.2">
      <c r="A630" s="38" t="e">
        <f>INDEX(Non_Tariff_Cost,MATCH(0,INDEX(COUNTIF($A$205:A629,Non_Tariff_Cost),0,0),0))</f>
        <v>#N/A</v>
      </c>
      <c r="B630" s="288" t="e">
        <f>INDEX(TBL_Manually_added_tariffs[ActivityType],MATCH(Additional_Inv_Proc_Tariff_List,TBL_Manually_added_tariffs[Activity],0))</f>
        <v>#N/A</v>
      </c>
      <c r="C630" s="156"/>
      <c r="D630" s="156"/>
      <c r="E630" s="35" t="e">
        <f>INDEX(TBL_Manually_added_tariffs[Cost (IF INVESTIGATION)],MATCH(Additional_Inv_Proc_Tariff_List,TBL_Manually_added_tariffs[Activity],0))</f>
        <v>#N/A</v>
      </c>
      <c r="F630" s="181"/>
    </row>
    <row r="631" spans="1:6" hidden="1" x14ac:dyDescent="0.2">
      <c r="A631" s="38" t="e">
        <f>INDEX(Non_Tariff_Cost,MATCH(0,INDEX(COUNTIF($A$205:A630,Non_Tariff_Cost),0,0),0))</f>
        <v>#N/A</v>
      </c>
      <c r="B631" s="288" t="e">
        <f>INDEX(TBL_Manually_added_tariffs[ActivityType],MATCH(Additional_Inv_Proc_Tariff_List,TBL_Manually_added_tariffs[Activity],0))</f>
        <v>#N/A</v>
      </c>
      <c r="C631" s="156"/>
      <c r="D631" s="156"/>
      <c r="E631" s="35" t="e">
        <f>INDEX(TBL_Manually_added_tariffs[Cost (IF INVESTIGATION)],MATCH(Additional_Inv_Proc_Tariff_List,TBL_Manually_added_tariffs[Activity],0))</f>
        <v>#N/A</v>
      </c>
      <c r="F631" s="181"/>
    </row>
    <row r="632" spans="1:6" hidden="1" x14ac:dyDescent="0.2">
      <c r="A632" s="38" t="e">
        <f>INDEX(Non_Tariff_Cost,MATCH(0,INDEX(COUNTIF($A$205:A631,Non_Tariff_Cost),0,0),0))</f>
        <v>#N/A</v>
      </c>
      <c r="B632" s="288" t="e">
        <f>INDEX(TBL_Manually_added_tariffs[ActivityType],MATCH(Additional_Inv_Proc_Tariff_List,TBL_Manually_added_tariffs[Activity],0))</f>
        <v>#N/A</v>
      </c>
      <c r="C632" s="156"/>
      <c r="D632" s="156"/>
      <c r="E632" s="35" t="e">
        <f>INDEX(TBL_Manually_added_tariffs[Cost (IF INVESTIGATION)],MATCH(Additional_Inv_Proc_Tariff_List,TBL_Manually_added_tariffs[Activity],0))</f>
        <v>#N/A</v>
      </c>
      <c r="F632" s="181"/>
    </row>
    <row r="633" spans="1:6" hidden="1" x14ac:dyDescent="0.2">
      <c r="A633" s="38" t="e">
        <f>INDEX(Non_Tariff_Cost,MATCH(0,INDEX(COUNTIF($A$205:A632,Non_Tariff_Cost),0,0),0))</f>
        <v>#N/A</v>
      </c>
      <c r="B633" s="288" t="e">
        <f>INDEX(TBL_Manually_added_tariffs[ActivityType],MATCH(Additional_Inv_Proc_Tariff_List,TBL_Manually_added_tariffs[Activity],0))</f>
        <v>#N/A</v>
      </c>
      <c r="C633" s="156"/>
      <c r="D633" s="156"/>
      <c r="E633" s="35" t="e">
        <f>INDEX(TBL_Manually_added_tariffs[Cost (IF INVESTIGATION)],MATCH(Additional_Inv_Proc_Tariff_List,TBL_Manually_added_tariffs[Activity],0))</f>
        <v>#N/A</v>
      </c>
      <c r="F633" s="181"/>
    </row>
    <row r="634" spans="1:6" hidden="1" x14ac:dyDescent="0.2">
      <c r="A634" s="38" t="e">
        <f>INDEX(Non_Tariff_Cost,MATCH(0,INDEX(COUNTIF($A$205:A633,Non_Tariff_Cost),0,0),0))</f>
        <v>#N/A</v>
      </c>
      <c r="B634" s="288" t="e">
        <f>INDEX(TBL_Manually_added_tariffs[ActivityType],MATCH(Additional_Inv_Proc_Tariff_List,TBL_Manually_added_tariffs[Activity],0))</f>
        <v>#N/A</v>
      </c>
      <c r="C634" s="156"/>
      <c r="D634" s="156"/>
      <c r="E634" s="35" t="e">
        <f>INDEX(TBL_Manually_added_tariffs[Cost (IF INVESTIGATION)],MATCH(Additional_Inv_Proc_Tariff_List,TBL_Manually_added_tariffs[Activity],0))</f>
        <v>#N/A</v>
      </c>
      <c r="F634" s="181"/>
    </row>
    <row r="635" spans="1:6" hidden="1" x14ac:dyDescent="0.2">
      <c r="A635" s="38" t="e">
        <f>INDEX(Non_Tariff_Cost,MATCH(0,INDEX(COUNTIF($A$205:A634,Non_Tariff_Cost),0,0),0))</f>
        <v>#N/A</v>
      </c>
      <c r="B635" s="288" t="e">
        <f>INDEX(TBL_Manually_added_tariffs[ActivityType],MATCH(Additional_Inv_Proc_Tariff_List,TBL_Manually_added_tariffs[Activity],0))</f>
        <v>#N/A</v>
      </c>
      <c r="C635" s="156"/>
      <c r="D635" s="156"/>
      <c r="E635" s="35" t="e">
        <f>INDEX(TBL_Manually_added_tariffs[Cost (IF INVESTIGATION)],MATCH(Additional_Inv_Proc_Tariff_List,TBL_Manually_added_tariffs[Activity],0))</f>
        <v>#N/A</v>
      </c>
      <c r="F635" s="181"/>
    </row>
    <row r="636" spans="1:6" hidden="1" x14ac:dyDescent="0.2">
      <c r="A636" s="38" t="e">
        <f>INDEX(Non_Tariff_Cost,MATCH(0,INDEX(COUNTIF($A$205:A635,Non_Tariff_Cost),0,0),0))</f>
        <v>#N/A</v>
      </c>
      <c r="B636" s="288" t="e">
        <f>INDEX(TBL_Manually_added_tariffs[ActivityType],MATCH(Additional_Inv_Proc_Tariff_List,TBL_Manually_added_tariffs[Activity],0))</f>
        <v>#N/A</v>
      </c>
      <c r="C636" s="156"/>
      <c r="D636" s="156"/>
      <c r="E636" s="35" t="e">
        <f>INDEX(TBL_Manually_added_tariffs[Cost (IF INVESTIGATION)],MATCH(Additional_Inv_Proc_Tariff_List,TBL_Manually_added_tariffs[Activity],0))</f>
        <v>#N/A</v>
      </c>
      <c r="F636" s="181"/>
    </row>
    <row r="637" spans="1:6" hidden="1" x14ac:dyDescent="0.2">
      <c r="A637" s="38" t="e">
        <f>INDEX(Non_Tariff_Cost,MATCH(0,INDEX(COUNTIF($A$205:A636,Non_Tariff_Cost),0,0),0))</f>
        <v>#N/A</v>
      </c>
      <c r="B637" s="288" t="e">
        <f>INDEX(TBL_Manually_added_tariffs[ActivityType],MATCH(Additional_Inv_Proc_Tariff_List,TBL_Manually_added_tariffs[Activity],0))</f>
        <v>#N/A</v>
      </c>
      <c r="C637" s="156"/>
      <c r="D637" s="156"/>
      <c r="E637" s="35" t="e">
        <f>INDEX(TBL_Manually_added_tariffs[Cost (IF INVESTIGATION)],MATCH(Additional_Inv_Proc_Tariff_List,TBL_Manually_added_tariffs[Activity],0))</f>
        <v>#N/A</v>
      </c>
      <c r="F637" s="181"/>
    </row>
    <row r="638" spans="1:6" hidden="1" x14ac:dyDescent="0.2">
      <c r="A638" s="38" t="e">
        <f>INDEX(Non_Tariff_Cost,MATCH(0,INDEX(COUNTIF($A$205:A637,Non_Tariff_Cost),0,0),0))</f>
        <v>#N/A</v>
      </c>
      <c r="B638" s="288" t="e">
        <f>INDEX(TBL_Manually_added_tariffs[ActivityType],MATCH(Additional_Inv_Proc_Tariff_List,TBL_Manually_added_tariffs[Activity],0))</f>
        <v>#N/A</v>
      </c>
      <c r="C638" s="156"/>
      <c r="D638" s="156"/>
      <c r="E638" s="35" t="e">
        <f>INDEX(TBL_Manually_added_tariffs[Cost (IF INVESTIGATION)],MATCH(Additional_Inv_Proc_Tariff_List,TBL_Manually_added_tariffs[Activity],0))</f>
        <v>#N/A</v>
      </c>
      <c r="F638" s="181"/>
    </row>
    <row r="639" spans="1:6" hidden="1" x14ac:dyDescent="0.2">
      <c r="A639" s="38" t="e">
        <f>INDEX(Non_Tariff_Cost,MATCH(0,INDEX(COUNTIF($A$205:A638,Non_Tariff_Cost),0,0),0))</f>
        <v>#N/A</v>
      </c>
      <c r="B639" s="288" t="e">
        <f>INDEX(TBL_Manually_added_tariffs[ActivityType],MATCH(Additional_Inv_Proc_Tariff_List,TBL_Manually_added_tariffs[Activity],0))</f>
        <v>#N/A</v>
      </c>
      <c r="C639" s="156"/>
      <c r="D639" s="156"/>
      <c r="E639" s="35" t="e">
        <f>INDEX(TBL_Manually_added_tariffs[Cost (IF INVESTIGATION)],MATCH(Additional_Inv_Proc_Tariff_List,TBL_Manually_added_tariffs[Activity],0))</f>
        <v>#N/A</v>
      </c>
      <c r="F639" s="181"/>
    </row>
    <row r="640" spans="1:6" hidden="1" x14ac:dyDescent="0.2">
      <c r="A640" s="38" t="e">
        <f>INDEX(Non_Tariff_Cost,MATCH(0,INDEX(COUNTIF($A$205:A639,Non_Tariff_Cost),0,0),0))</f>
        <v>#N/A</v>
      </c>
      <c r="B640" s="288" t="e">
        <f>INDEX(TBL_Manually_added_tariffs[ActivityType],MATCH(Additional_Inv_Proc_Tariff_List,TBL_Manually_added_tariffs[Activity],0))</f>
        <v>#N/A</v>
      </c>
      <c r="C640" s="156"/>
      <c r="D640" s="156"/>
      <c r="E640" s="35" t="e">
        <f>INDEX(TBL_Manually_added_tariffs[Cost (IF INVESTIGATION)],MATCH(Additional_Inv_Proc_Tariff_List,TBL_Manually_added_tariffs[Activity],0))</f>
        <v>#N/A</v>
      </c>
      <c r="F640" s="181"/>
    </row>
    <row r="641" spans="1:6" hidden="1" x14ac:dyDescent="0.2">
      <c r="A641" s="38" t="e">
        <f>INDEX(Non_Tariff_Cost,MATCH(0,INDEX(COUNTIF($A$205:A640,Non_Tariff_Cost),0,0),0))</f>
        <v>#N/A</v>
      </c>
      <c r="B641" s="288" t="e">
        <f>INDEX(TBL_Manually_added_tariffs[ActivityType],MATCH(Additional_Inv_Proc_Tariff_List,TBL_Manually_added_tariffs[Activity],0))</f>
        <v>#N/A</v>
      </c>
      <c r="C641" s="156"/>
      <c r="D641" s="156"/>
      <c r="E641" s="35" t="e">
        <f>INDEX(TBL_Manually_added_tariffs[Cost (IF INVESTIGATION)],MATCH(Additional_Inv_Proc_Tariff_List,TBL_Manually_added_tariffs[Activity],0))</f>
        <v>#N/A</v>
      </c>
      <c r="F641" s="181"/>
    </row>
    <row r="642" spans="1:6" hidden="1" x14ac:dyDescent="0.2">
      <c r="A642" s="38" t="e">
        <f>INDEX(Non_Tariff_Cost,MATCH(0,INDEX(COUNTIF($A$205:A641,Non_Tariff_Cost),0,0),0))</f>
        <v>#N/A</v>
      </c>
      <c r="B642" s="288" t="e">
        <f>INDEX(TBL_Manually_added_tariffs[ActivityType],MATCH(Additional_Inv_Proc_Tariff_List,TBL_Manually_added_tariffs[Activity],0))</f>
        <v>#N/A</v>
      </c>
      <c r="C642" s="156"/>
      <c r="D642" s="156"/>
      <c r="E642" s="35" t="e">
        <f>INDEX(TBL_Manually_added_tariffs[Cost (IF INVESTIGATION)],MATCH(Additional_Inv_Proc_Tariff_List,TBL_Manually_added_tariffs[Activity],0))</f>
        <v>#N/A</v>
      </c>
      <c r="F642" s="181"/>
    </row>
    <row r="643" spans="1:6" hidden="1" x14ac:dyDescent="0.2">
      <c r="A643" s="38" t="e">
        <f>INDEX(Non_Tariff_Cost,MATCH(0,INDEX(COUNTIF($A$205:A642,Non_Tariff_Cost),0,0),0))</f>
        <v>#N/A</v>
      </c>
      <c r="B643" s="288" t="e">
        <f>INDEX(TBL_Manually_added_tariffs[ActivityType],MATCH(Additional_Inv_Proc_Tariff_List,TBL_Manually_added_tariffs[Activity],0))</f>
        <v>#N/A</v>
      </c>
      <c r="C643" s="156"/>
      <c r="D643" s="156"/>
      <c r="E643" s="35" t="e">
        <f>INDEX(TBL_Manually_added_tariffs[Cost (IF INVESTIGATION)],MATCH(Additional_Inv_Proc_Tariff_List,TBL_Manually_added_tariffs[Activity],0))</f>
        <v>#N/A</v>
      </c>
      <c r="F643" s="181"/>
    </row>
    <row r="644" spans="1:6" hidden="1" x14ac:dyDescent="0.2">
      <c r="A644" s="38" t="e">
        <f>INDEX(Non_Tariff_Cost,MATCH(0,INDEX(COUNTIF($A$205:A643,Non_Tariff_Cost),0,0),0))</f>
        <v>#N/A</v>
      </c>
      <c r="B644" s="288" t="e">
        <f>INDEX(TBL_Manually_added_tariffs[ActivityType],MATCH(Additional_Inv_Proc_Tariff_List,TBL_Manually_added_tariffs[Activity],0))</f>
        <v>#N/A</v>
      </c>
      <c r="C644" s="156"/>
      <c r="D644" s="156"/>
      <c r="E644" s="35" t="e">
        <f>INDEX(TBL_Manually_added_tariffs[Cost (IF INVESTIGATION)],MATCH(Additional_Inv_Proc_Tariff_List,TBL_Manually_added_tariffs[Activity],0))</f>
        <v>#N/A</v>
      </c>
      <c r="F644" s="181"/>
    </row>
    <row r="645" spans="1:6" hidden="1" x14ac:dyDescent="0.2">
      <c r="A645" s="38" t="e">
        <f>INDEX(Non_Tariff_Cost,MATCH(0,INDEX(COUNTIF($A$205:A644,Non_Tariff_Cost),0,0),0))</f>
        <v>#N/A</v>
      </c>
      <c r="B645" s="288" t="e">
        <f>INDEX(TBL_Manually_added_tariffs[ActivityType],MATCH(Additional_Inv_Proc_Tariff_List,TBL_Manually_added_tariffs[Activity],0))</f>
        <v>#N/A</v>
      </c>
      <c r="C645" s="156"/>
      <c r="D645" s="156"/>
      <c r="E645" s="35" t="e">
        <f>INDEX(TBL_Manually_added_tariffs[Cost (IF INVESTIGATION)],MATCH(Additional_Inv_Proc_Tariff_List,TBL_Manually_added_tariffs[Activity],0))</f>
        <v>#N/A</v>
      </c>
      <c r="F645" s="181"/>
    </row>
    <row r="646" spans="1:6" hidden="1" x14ac:dyDescent="0.2">
      <c r="A646" s="38" t="e">
        <f>INDEX(Non_Tariff_Cost,MATCH(0,INDEX(COUNTIF($A$205:A645,Non_Tariff_Cost),0,0),0))</f>
        <v>#N/A</v>
      </c>
      <c r="B646" s="288" t="e">
        <f>INDEX(TBL_Manually_added_tariffs[ActivityType],MATCH(Additional_Inv_Proc_Tariff_List,TBL_Manually_added_tariffs[Activity],0))</f>
        <v>#N/A</v>
      </c>
      <c r="C646" s="156"/>
      <c r="D646" s="156"/>
      <c r="E646" s="35" t="e">
        <f>INDEX(TBL_Manually_added_tariffs[Cost (IF INVESTIGATION)],MATCH(Additional_Inv_Proc_Tariff_List,TBL_Manually_added_tariffs[Activity],0))</f>
        <v>#N/A</v>
      </c>
      <c r="F646" s="181"/>
    </row>
    <row r="647" spans="1:6" hidden="1" x14ac:dyDescent="0.2">
      <c r="A647" s="38" t="e">
        <f>INDEX(Non_Tariff_Cost,MATCH(0,INDEX(COUNTIF($A$205:A646,Non_Tariff_Cost),0,0),0))</f>
        <v>#N/A</v>
      </c>
      <c r="B647" s="288" t="e">
        <f>INDEX(TBL_Manually_added_tariffs[ActivityType],MATCH(Additional_Inv_Proc_Tariff_List,TBL_Manually_added_tariffs[Activity],0))</f>
        <v>#N/A</v>
      </c>
      <c r="C647" s="156"/>
      <c r="D647" s="156"/>
      <c r="E647" s="35" t="e">
        <f>INDEX(TBL_Manually_added_tariffs[Cost (IF INVESTIGATION)],MATCH(Additional_Inv_Proc_Tariff_List,TBL_Manually_added_tariffs[Activity],0))</f>
        <v>#N/A</v>
      </c>
      <c r="F647" s="181"/>
    </row>
    <row r="648" spans="1:6" hidden="1" x14ac:dyDescent="0.2">
      <c r="A648" s="38" t="e">
        <f>INDEX(Non_Tariff_Cost,MATCH(0,INDEX(COUNTIF($A$205:A647,Non_Tariff_Cost),0,0),0))</f>
        <v>#N/A</v>
      </c>
      <c r="B648" s="288" t="e">
        <f>INDEX(TBL_Manually_added_tariffs[ActivityType],MATCH(Additional_Inv_Proc_Tariff_List,TBL_Manually_added_tariffs[Activity],0))</f>
        <v>#N/A</v>
      </c>
      <c r="C648" s="156"/>
      <c r="D648" s="156"/>
      <c r="E648" s="35" t="e">
        <f>INDEX(TBL_Manually_added_tariffs[Cost (IF INVESTIGATION)],MATCH(Additional_Inv_Proc_Tariff_List,TBL_Manually_added_tariffs[Activity],0))</f>
        <v>#N/A</v>
      </c>
      <c r="F648" s="181"/>
    </row>
    <row r="649" spans="1:6" hidden="1" x14ac:dyDescent="0.2">
      <c r="A649" s="38" t="e">
        <f>INDEX(Non_Tariff_Cost,MATCH(0,INDEX(COUNTIF($A$205:A648,Non_Tariff_Cost),0,0),0))</f>
        <v>#N/A</v>
      </c>
      <c r="B649" s="288" t="e">
        <f>INDEX(TBL_Manually_added_tariffs[ActivityType],MATCH(Additional_Inv_Proc_Tariff_List,TBL_Manually_added_tariffs[Activity],0))</f>
        <v>#N/A</v>
      </c>
      <c r="C649" s="156"/>
      <c r="D649" s="156"/>
      <c r="E649" s="35" t="e">
        <f>INDEX(TBL_Manually_added_tariffs[Cost (IF INVESTIGATION)],MATCH(Additional_Inv_Proc_Tariff_List,TBL_Manually_added_tariffs[Activity],0))</f>
        <v>#N/A</v>
      </c>
      <c r="F649" s="181"/>
    </row>
    <row r="650" spans="1:6" hidden="1" x14ac:dyDescent="0.2">
      <c r="A650" s="38" t="e">
        <f>INDEX(Non_Tariff_Cost,MATCH(0,INDEX(COUNTIF($A$205:A649,Non_Tariff_Cost),0,0),0))</f>
        <v>#N/A</v>
      </c>
      <c r="B650" s="288" t="e">
        <f>INDEX(TBL_Manually_added_tariffs[ActivityType],MATCH(Additional_Inv_Proc_Tariff_List,TBL_Manually_added_tariffs[Activity],0))</f>
        <v>#N/A</v>
      </c>
      <c r="C650" s="156"/>
      <c r="D650" s="156"/>
      <c r="E650" s="35" t="e">
        <f>INDEX(TBL_Manually_added_tariffs[Cost (IF INVESTIGATION)],MATCH(Additional_Inv_Proc_Tariff_List,TBL_Manually_added_tariffs[Activity],0))</f>
        <v>#N/A</v>
      </c>
      <c r="F650" s="181"/>
    </row>
    <row r="651" spans="1:6" hidden="1" x14ac:dyDescent="0.2">
      <c r="A651" s="38" t="e">
        <f>INDEX(Non_Tariff_Cost,MATCH(0,INDEX(COUNTIF($A$205:A650,Non_Tariff_Cost),0,0),0))</f>
        <v>#N/A</v>
      </c>
      <c r="B651" s="288" t="e">
        <f>INDEX(TBL_Manually_added_tariffs[ActivityType],MATCH(Additional_Inv_Proc_Tariff_List,TBL_Manually_added_tariffs[Activity],0))</f>
        <v>#N/A</v>
      </c>
      <c r="C651" s="156"/>
      <c r="D651" s="156"/>
      <c r="E651" s="35" t="e">
        <f>INDEX(TBL_Manually_added_tariffs[Cost (IF INVESTIGATION)],MATCH(Additional_Inv_Proc_Tariff_List,TBL_Manually_added_tariffs[Activity],0))</f>
        <v>#N/A</v>
      </c>
      <c r="F651" s="181"/>
    </row>
    <row r="652" spans="1:6" hidden="1" x14ac:dyDescent="0.2">
      <c r="A652" s="38" t="e">
        <f>INDEX(Non_Tariff_Cost,MATCH(0,INDEX(COUNTIF($A$205:A651,Non_Tariff_Cost),0,0),0))</f>
        <v>#N/A</v>
      </c>
      <c r="B652" s="288" t="e">
        <f>INDEX(TBL_Manually_added_tariffs[ActivityType],MATCH(Additional_Inv_Proc_Tariff_List,TBL_Manually_added_tariffs[Activity],0))</f>
        <v>#N/A</v>
      </c>
      <c r="C652" s="156"/>
      <c r="D652" s="156"/>
      <c r="E652" s="35" t="e">
        <f>INDEX(TBL_Manually_added_tariffs[Cost (IF INVESTIGATION)],MATCH(Additional_Inv_Proc_Tariff_List,TBL_Manually_added_tariffs[Activity],0))</f>
        <v>#N/A</v>
      </c>
      <c r="F652" s="181"/>
    </row>
    <row r="653" spans="1:6" hidden="1" x14ac:dyDescent="0.2">
      <c r="A653" s="38" t="e">
        <f>INDEX(Non_Tariff_Cost,MATCH(0,INDEX(COUNTIF($A$205:A652,Non_Tariff_Cost),0,0),0))</f>
        <v>#N/A</v>
      </c>
      <c r="B653" s="288" t="e">
        <f>INDEX(TBL_Manually_added_tariffs[ActivityType],MATCH(Additional_Inv_Proc_Tariff_List,TBL_Manually_added_tariffs[Activity],0))</f>
        <v>#N/A</v>
      </c>
      <c r="C653" s="156"/>
      <c r="D653" s="156"/>
      <c r="E653" s="35" t="e">
        <f>INDEX(TBL_Manually_added_tariffs[Cost (IF INVESTIGATION)],MATCH(Additional_Inv_Proc_Tariff_List,TBL_Manually_added_tariffs[Activity],0))</f>
        <v>#N/A</v>
      </c>
      <c r="F653" s="181"/>
    </row>
    <row r="654" spans="1:6" hidden="1" x14ac:dyDescent="0.2">
      <c r="A654" s="38" t="e">
        <f>INDEX(Non_Tariff_Cost,MATCH(0,INDEX(COUNTIF($A$205:A653,Non_Tariff_Cost),0,0),0))</f>
        <v>#N/A</v>
      </c>
      <c r="B654" s="288" t="e">
        <f>INDEX(TBL_Manually_added_tariffs[ActivityType],MATCH(Additional_Inv_Proc_Tariff_List,TBL_Manually_added_tariffs[Activity],0))</f>
        <v>#N/A</v>
      </c>
      <c r="C654" s="156"/>
      <c r="D654" s="156"/>
      <c r="E654" s="35" t="e">
        <f>INDEX(TBL_Manually_added_tariffs[Cost (IF INVESTIGATION)],MATCH(Additional_Inv_Proc_Tariff_List,TBL_Manually_added_tariffs[Activity],0))</f>
        <v>#N/A</v>
      </c>
      <c r="F654" s="181"/>
    </row>
    <row r="655" spans="1:6" hidden="1" x14ac:dyDescent="0.2">
      <c r="A655" s="38" t="e">
        <f>INDEX(Non_Tariff_Cost,MATCH(0,INDEX(COUNTIF($A$205:A654,Non_Tariff_Cost),0,0),0))</f>
        <v>#N/A</v>
      </c>
      <c r="B655" s="288" t="e">
        <f>INDEX(TBL_Manually_added_tariffs[ActivityType],MATCH(Additional_Inv_Proc_Tariff_List,TBL_Manually_added_tariffs[Activity],0))</f>
        <v>#N/A</v>
      </c>
      <c r="C655" s="156"/>
      <c r="D655" s="156"/>
      <c r="E655" s="35" t="e">
        <f>INDEX(TBL_Manually_added_tariffs[Cost (IF INVESTIGATION)],MATCH(Additional_Inv_Proc_Tariff_List,TBL_Manually_added_tariffs[Activity],0))</f>
        <v>#N/A</v>
      </c>
      <c r="F655" s="181"/>
    </row>
    <row r="656" spans="1:6" hidden="1" x14ac:dyDescent="0.2">
      <c r="A656" s="38" t="e">
        <f>INDEX(Non_Tariff_Cost,MATCH(0,INDEX(COUNTIF($A$205:A655,Non_Tariff_Cost),0,0),0))</f>
        <v>#N/A</v>
      </c>
      <c r="B656" s="288" t="e">
        <f>INDEX(TBL_Manually_added_tariffs[ActivityType],MATCH(Additional_Inv_Proc_Tariff_List,TBL_Manually_added_tariffs[Activity],0))</f>
        <v>#N/A</v>
      </c>
      <c r="C656" s="156"/>
      <c r="D656" s="156"/>
      <c r="E656" s="35" t="e">
        <f>INDEX(TBL_Manually_added_tariffs[Cost (IF INVESTIGATION)],MATCH(Additional_Inv_Proc_Tariff_List,TBL_Manually_added_tariffs[Activity],0))</f>
        <v>#N/A</v>
      </c>
      <c r="F656" s="181"/>
    </row>
    <row r="657" spans="1:6" hidden="1" x14ac:dyDescent="0.2">
      <c r="A657" s="38" t="e">
        <f>INDEX(Non_Tariff_Cost,MATCH(0,INDEX(COUNTIF($A$205:A656,Non_Tariff_Cost),0,0),0))</f>
        <v>#N/A</v>
      </c>
      <c r="B657" s="288" t="e">
        <f>INDEX(TBL_Manually_added_tariffs[ActivityType],MATCH(Additional_Inv_Proc_Tariff_List,TBL_Manually_added_tariffs[Activity],0))</f>
        <v>#N/A</v>
      </c>
      <c r="C657" s="156"/>
      <c r="D657" s="156"/>
      <c r="E657" s="35" t="e">
        <f>INDEX(TBL_Manually_added_tariffs[Cost (IF INVESTIGATION)],MATCH(Additional_Inv_Proc_Tariff_List,TBL_Manually_added_tariffs[Activity],0))</f>
        <v>#N/A</v>
      </c>
      <c r="F657" s="181"/>
    </row>
    <row r="658" spans="1:6" hidden="1" x14ac:dyDescent="0.2">
      <c r="A658" s="38" t="e">
        <f>INDEX(Non_Tariff_Cost,MATCH(0,INDEX(COUNTIF($A$205:A657,Non_Tariff_Cost),0,0),0))</f>
        <v>#N/A</v>
      </c>
      <c r="B658" s="288" t="e">
        <f>INDEX(TBL_Manually_added_tariffs[ActivityType],MATCH(Additional_Inv_Proc_Tariff_List,TBL_Manually_added_tariffs[Activity],0))</f>
        <v>#N/A</v>
      </c>
      <c r="C658" s="156"/>
      <c r="D658" s="156"/>
      <c r="E658" s="35" t="e">
        <f>INDEX(TBL_Manually_added_tariffs[Cost (IF INVESTIGATION)],MATCH(Additional_Inv_Proc_Tariff_List,TBL_Manually_added_tariffs[Activity],0))</f>
        <v>#N/A</v>
      </c>
      <c r="F658" s="181"/>
    </row>
    <row r="659" spans="1:6" hidden="1" x14ac:dyDescent="0.2">
      <c r="A659" s="38" t="e">
        <f>INDEX(Non_Tariff_Cost,MATCH(0,INDEX(COUNTIF($A$205:A658,Non_Tariff_Cost),0,0),0))</f>
        <v>#N/A</v>
      </c>
      <c r="B659" s="288" t="e">
        <f>INDEX(TBL_Manually_added_tariffs[ActivityType],MATCH(Additional_Inv_Proc_Tariff_List,TBL_Manually_added_tariffs[Activity],0))</f>
        <v>#N/A</v>
      </c>
      <c r="C659" s="156"/>
      <c r="D659" s="156"/>
      <c r="E659" s="35" t="e">
        <f>INDEX(TBL_Manually_added_tariffs[Cost (IF INVESTIGATION)],MATCH(Additional_Inv_Proc_Tariff_List,TBL_Manually_added_tariffs[Activity],0))</f>
        <v>#N/A</v>
      </c>
      <c r="F659" s="181"/>
    </row>
    <row r="660" spans="1:6" hidden="1" x14ac:dyDescent="0.2">
      <c r="A660" s="38" t="e">
        <f>INDEX(Non_Tariff_Cost,MATCH(0,INDEX(COUNTIF($A$205:A659,Non_Tariff_Cost),0,0),0))</f>
        <v>#N/A</v>
      </c>
      <c r="B660" s="288" t="e">
        <f>INDEX(TBL_Manually_added_tariffs[ActivityType],MATCH(Additional_Inv_Proc_Tariff_List,TBL_Manually_added_tariffs[Activity],0))</f>
        <v>#N/A</v>
      </c>
      <c r="C660" s="156"/>
      <c r="D660" s="156"/>
      <c r="E660" s="35" t="e">
        <f>INDEX(TBL_Manually_added_tariffs[Cost (IF INVESTIGATION)],MATCH(Additional_Inv_Proc_Tariff_List,TBL_Manually_added_tariffs[Activity],0))</f>
        <v>#N/A</v>
      </c>
      <c r="F660" s="181"/>
    </row>
    <row r="661" spans="1:6" hidden="1" x14ac:dyDescent="0.2">
      <c r="A661" s="38" t="e">
        <f>INDEX(Non_Tariff_Cost,MATCH(0,INDEX(COUNTIF($A$205:A660,Non_Tariff_Cost),0,0),0))</f>
        <v>#N/A</v>
      </c>
      <c r="B661" s="288" t="e">
        <f>INDEX(TBL_Manually_added_tariffs[ActivityType],MATCH(Additional_Inv_Proc_Tariff_List,TBL_Manually_added_tariffs[Activity],0))</f>
        <v>#N/A</v>
      </c>
      <c r="C661" s="156"/>
      <c r="D661" s="156"/>
      <c r="E661" s="35" t="e">
        <f>INDEX(TBL_Manually_added_tariffs[Cost (IF INVESTIGATION)],MATCH(Additional_Inv_Proc_Tariff_List,TBL_Manually_added_tariffs[Activity],0))</f>
        <v>#N/A</v>
      </c>
      <c r="F661" s="181"/>
    </row>
    <row r="662" spans="1:6" hidden="1" x14ac:dyDescent="0.2">
      <c r="A662" s="38" t="e">
        <f>INDEX(Non_Tariff_Cost,MATCH(0,INDEX(COUNTIF($A$205:A661,Non_Tariff_Cost),0,0),0))</f>
        <v>#N/A</v>
      </c>
      <c r="B662" s="288" t="e">
        <f>INDEX(TBL_Manually_added_tariffs[ActivityType],MATCH(Additional_Inv_Proc_Tariff_List,TBL_Manually_added_tariffs[Activity],0))</f>
        <v>#N/A</v>
      </c>
      <c r="C662" s="156"/>
      <c r="D662" s="156"/>
      <c r="E662" s="35" t="e">
        <f>INDEX(TBL_Manually_added_tariffs[Cost (IF INVESTIGATION)],MATCH(Additional_Inv_Proc_Tariff_List,TBL_Manually_added_tariffs[Activity],0))</f>
        <v>#N/A</v>
      </c>
      <c r="F662" s="181"/>
    </row>
    <row r="663" spans="1:6" hidden="1" x14ac:dyDescent="0.2">
      <c r="A663" s="38" t="e">
        <f>INDEX(Non_Tariff_Cost,MATCH(0,INDEX(COUNTIF($A$205:A662,Non_Tariff_Cost),0,0),0))</f>
        <v>#N/A</v>
      </c>
      <c r="B663" s="288" t="e">
        <f>INDEX(TBL_Manually_added_tariffs[ActivityType],MATCH(Additional_Inv_Proc_Tariff_List,TBL_Manually_added_tariffs[Activity],0))</f>
        <v>#N/A</v>
      </c>
      <c r="C663" s="156"/>
      <c r="D663" s="156"/>
      <c r="E663" s="35" t="e">
        <f>INDEX(TBL_Manually_added_tariffs[Cost (IF INVESTIGATION)],MATCH(Additional_Inv_Proc_Tariff_List,TBL_Manually_added_tariffs[Activity],0))</f>
        <v>#N/A</v>
      </c>
      <c r="F663" s="181"/>
    </row>
    <row r="664" spans="1:6" hidden="1" x14ac:dyDescent="0.2">
      <c r="A664" s="38" t="e">
        <f>INDEX(Non_Tariff_Cost,MATCH(0,INDEX(COUNTIF($A$205:A663,Non_Tariff_Cost),0,0),0))</f>
        <v>#N/A</v>
      </c>
      <c r="B664" s="288" t="e">
        <f>INDEX(TBL_Manually_added_tariffs[ActivityType],MATCH(Additional_Inv_Proc_Tariff_List,TBL_Manually_added_tariffs[Activity],0))</f>
        <v>#N/A</v>
      </c>
      <c r="C664" s="156"/>
      <c r="D664" s="156"/>
      <c r="E664" s="35" t="e">
        <f>INDEX(TBL_Manually_added_tariffs[Cost (IF INVESTIGATION)],MATCH(Additional_Inv_Proc_Tariff_List,TBL_Manually_added_tariffs[Activity],0))</f>
        <v>#N/A</v>
      </c>
      <c r="F664" s="181"/>
    </row>
    <row r="665" spans="1:6" hidden="1" x14ac:dyDescent="0.2">
      <c r="A665" s="38" t="e">
        <f>INDEX(Non_Tariff_Cost,MATCH(0,INDEX(COUNTIF($A$205:A664,Non_Tariff_Cost),0,0),0))</f>
        <v>#N/A</v>
      </c>
      <c r="B665" s="288" t="e">
        <f>INDEX(TBL_Manually_added_tariffs[ActivityType],MATCH(Additional_Inv_Proc_Tariff_List,TBL_Manually_added_tariffs[Activity],0))</f>
        <v>#N/A</v>
      </c>
      <c r="C665" s="156"/>
      <c r="D665" s="156"/>
      <c r="E665" s="35" t="e">
        <f>INDEX(TBL_Manually_added_tariffs[Cost (IF INVESTIGATION)],MATCH(Additional_Inv_Proc_Tariff_List,TBL_Manually_added_tariffs[Activity],0))</f>
        <v>#N/A</v>
      </c>
      <c r="F665" s="181"/>
    </row>
    <row r="666" spans="1:6" hidden="1" x14ac:dyDescent="0.2">
      <c r="A666" s="38" t="e">
        <f>INDEX(Non_Tariff_Cost,MATCH(0,INDEX(COUNTIF($A$205:A665,Non_Tariff_Cost),0,0),0))</f>
        <v>#N/A</v>
      </c>
      <c r="B666" s="288" t="e">
        <f>INDEX(TBL_Manually_added_tariffs[ActivityType],MATCH(Additional_Inv_Proc_Tariff_List,TBL_Manually_added_tariffs[Activity],0))</f>
        <v>#N/A</v>
      </c>
      <c r="C666" s="156"/>
      <c r="D666" s="156"/>
      <c r="E666" s="35" t="e">
        <f>INDEX(TBL_Manually_added_tariffs[Cost (IF INVESTIGATION)],MATCH(Additional_Inv_Proc_Tariff_List,TBL_Manually_added_tariffs[Activity],0))</f>
        <v>#N/A</v>
      </c>
      <c r="F666" s="181"/>
    </row>
    <row r="667" spans="1:6" hidden="1" x14ac:dyDescent="0.2">
      <c r="A667" s="38" t="e">
        <f>INDEX(Non_Tariff_Cost,MATCH(0,INDEX(COUNTIF($A$205:A666,Non_Tariff_Cost),0,0),0))</f>
        <v>#N/A</v>
      </c>
      <c r="B667" s="288" t="e">
        <f>INDEX(TBL_Manually_added_tariffs[ActivityType],MATCH(Additional_Inv_Proc_Tariff_List,TBL_Manually_added_tariffs[Activity],0))</f>
        <v>#N/A</v>
      </c>
      <c r="C667" s="156"/>
      <c r="D667" s="156"/>
      <c r="E667" s="35" t="e">
        <f>INDEX(TBL_Manually_added_tariffs[Cost (IF INVESTIGATION)],MATCH(Additional_Inv_Proc_Tariff_List,TBL_Manually_added_tariffs[Activity],0))</f>
        <v>#N/A</v>
      </c>
      <c r="F667" s="181"/>
    </row>
    <row r="668" spans="1:6" hidden="1" x14ac:dyDescent="0.2">
      <c r="A668" s="38" t="e">
        <f>INDEX(Non_Tariff_Cost,MATCH(0,INDEX(COUNTIF($A$205:A667,Non_Tariff_Cost),0,0),0))</f>
        <v>#N/A</v>
      </c>
      <c r="B668" s="288" t="e">
        <f>INDEX(TBL_Manually_added_tariffs[ActivityType],MATCH(Additional_Inv_Proc_Tariff_List,TBL_Manually_added_tariffs[Activity],0))</f>
        <v>#N/A</v>
      </c>
      <c r="C668" s="156"/>
      <c r="D668" s="156"/>
      <c r="E668" s="35" t="e">
        <f>INDEX(TBL_Manually_added_tariffs[Cost (IF INVESTIGATION)],MATCH(Additional_Inv_Proc_Tariff_List,TBL_Manually_added_tariffs[Activity],0))</f>
        <v>#N/A</v>
      </c>
      <c r="F668" s="181"/>
    </row>
    <row r="669" spans="1:6" hidden="1" x14ac:dyDescent="0.2">
      <c r="A669" s="38" t="e">
        <f>INDEX(Non_Tariff_Cost,MATCH(0,INDEX(COUNTIF($A$205:A668,Non_Tariff_Cost),0,0),0))</f>
        <v>#N/A</v>
      </c>
      <c r="B669" s="288" t="e">
        <f>INDEX(TBL_Manually_added_tariffs[ActivityType],MATCH(Additional_Inv_Proc_Tariff_List,TBL_Manually_added_tariffs[Activity],0))</f>
        <v>#N/A</v>
      </c>
      <c r="C669" s="156"/>
      <c r="D669" s="156"/>
      <c r="E669" s="35" t="e">
        <f>INDEX(TBL_Manually_added_tariffs[Cost (IF INVESTIGATION)],MATCH(Additional_Inv_Proc_Tariff_List,TBL_Manually_added_tariffs[Activity],0))</f>
        <v>#N/A</v>
      </c>
      <c r="F669" s="181"/>
    </row>
    <row r="670" spans="1:6" hidden="1" x14ac:dyDescent="0.2">
      <c r="A670" s="38" t="e">
        <f>INDEX(Non_Tariff_Cost,MATCH(0,INDEX(COUNTIF($A$205:A669,Non_Tariff_Cost),0,0),0))</f>
        <v>#N/A</v>
      </c>
      <c r="B670" s="288" t="e">
        <f>INDEX(TBL_Manually_added_tariffs[ActivityType],MATCH(Additional_Inv_Proc_Tariff_List,TBL_Manually_added_tariffs[Activity],0))</f>
        <v>#N/A</v>
      </c>
      <c r="C670" s="156"/>
      <c r="D670" s="156"/>
      <c r="E670" s="35" t="e">
        <f>INDEX(TBL_Manually_added_tariffs[Cost (IF INVESTIGATION)],MATCH(Additional_Inv_Proc_Tariff_List,TBL_Manually_added_tariffs[Activity],0))</f>
        <v>#N/A</v>
      </c>
      <c r="F670" s="181"/>
    </row>
    <row r="671" spans="1:6" hidden="1" x14ac:dyDescent="0.2">
      <c r="A671" s="38" t="e">
        <f>INDEX(Non_Tariff_Cost,MATCH(0,INDEX(COUNTIF($A$205:A670,Non_Tariff_Cost),0,0),0))</f>
        <v>#N/A</v>
      </c>
      <c r="B671" s="288" t="e">
        <f>INDEX(TBL_Manually_added_tariffs[ActivityType],MATCH(Additional_Inv_Proc_Tariff_List,TBL_Manually_added_tariffs[Activity],0))</f>
        <v>#N/A</v>
      </c>
      <c r="C671" s="156"/>
      <c r="D671" s="156"/>
      <c r="E671" s="35" t="e">
        <f>INDEX(TBL_Manually_added_tariffs[Cost (IF INVESTIGATION)],MATCH(Additional_Inv_Proc_Tariff_List,TBL_Manually_added_tariffs[Activity],0))</f>
        <v>#N/A</v>
      </c>
      <c r="F671" s="181"/>
    </row>
    <row r="672" spans="1:6" hidden="1" x14ac:dyDescent="0.2">
      <c r="A672" s="38" t="e">
        <f>INDEX(Non_Tariff_Cost,MATCH(0,INDEX(COUNTIF($A$205:A671,Non_Tariff_Cost),0,0),0))</f>
        <v>#N/A</v>
      </c>
      <c r="B672" s="288" t="e">
        <f>INDEX(TBL_Manually_added_tariffs[ActivityType],MATCH(Additional_Inv_Proc_Tariff_List,TBL_Manually_added_tariffs[Activity],0))</f>
        <v>#N/A</v>
      </c>
      <c r="C672" s="156"/>
      <c r="D672" s="156"/>
      <c r="E672" s="35" t="e">
        <f>INDEX(TBL_Manually_added_tariffs[Cost (IF INVESTIGATION)],MATCH(Additional_Inv_Proc_Tariff_List,TBL_Manually_added_tariffs[Activity],0))</f>
        <v>#N/A</v>
      </c>
      <c r="F672" s="181"/>
    </row>
    <row r="673" spans="1:6" hidden="1" x14ac:dyDescent="0.2">
      <c r="A673" s="38" t="e">
        <f>INDEX(Non_Tariff_Cost,MATCH(0,INDEX(COUNTIF($A$205:A672,Non_Tariff_Cost),0,0),0))</f>
        <v>#N/A</v>
      </c>
      <c r="B673" s="288" t="e">
        <f>INDEX(TBL_Manually_added_tariffs[ActivityType],MATCH(Additional_Inv_Proc_Tariff_List,TBL_Manually_added_tariffs[Activity],0))</f>
        <v>#N/A</v>
      </c>
      <c r="C673" s="156"/>
      <c r="D673" s="156"/>
      <c r="E673" s="35" t="e">
        <f>INDEX(TBL_Manually_added_tariffs[Cost (IF INVESTIGATION)],MATCH(Additional_Inv_Proc_Tariff_List,TBL_Manually_added_tariffs[Activity],0))</f>
        <v>#N/A</v>
      </c>
      <c r="F673" s="181"/>
    </row>
    <row r="674" spans="1:6" hidden="1" x14ac:dyDescent="0.2">
      <c r="A674" s="38" t="e">
        <f>INDEX(Non_Tariff_Cost,MATCH(0,INDEX(COUNTIF($A$205:A673,Non_Tariff_Cost),0,0),0))</f>
        <v>#N/A</v>
      </c>
      <c r="B674" s="288" t="e">
        <f>INDEX(TBL_Manually_added_tariffs[ActivityType],MATCH(Additional_Inv_Proc_Tariff_List,TBL_Manually_added_tariffs[Activity],0))</f>
        <v>#N/A</v>
      </c>
      <c r="C674" s="156"/>
      <c r="D674" s="156"/>
      <c r="E674" s="35" t="e">
        <f>INDEX(TBL_Manually_added_tariffs[Cost (IF INVESTIGATION)],MATCH(Additional_Inv_Proc_Tariff_List,TBL_Manually_added_tariffs[Activity],0))</f>
        <v>#N/A</v>
      </c>
      <c r="F674" s="181"/>
    </row>
    <row r="675" spans="1:6" hidden="1" x14ac:dyDescent="0.2">
      <c r="A675" s="38" t="e">
        <f>INDEX(Non_Tariff_Cost,MATCH(0,INDEX(COUNTIF($A$205:A674,Non_Tariff_Cost),0,0),0))</f>
        <v>#N/A</v>
      </c>
      <c r="B675" s="288" t="e">
        <f>INDEX(TBL_Manually_added_tariffs[ActivityType],MATCH(Additional_Inv_Proc_Tariff_List,TBL_Manually_added_tariffs[Activity],0))</f>
        <v>#N/A</v>
      </c>
      <c r="C675" s="156"/>
      <c r="D675" s="156"/>
      <c r="E675" s="35" t="e">
        <f>INDEX(TBL_Manually_added_tariffs[Cost (IF INVESTIGATION)],MATCH(Additional_Inv_Proc_Tariff_List,TBL_Manually_added_tariffs[Activity],0))</f>
        <v>#N/A</v>
      </c>
      <c r="F675" s="181"/>
    </row>
    <row r="676" spans="1:6" hidden="1" x14ac:dyDescent="0.2">
      <c r="A676" s="38" t="e">
        <f>INDEX(Non_Tariff_Cost,MATCH(0,INDEX(COUNTIF($A$205:A675,Non_Tariff_Cost),0,0),0))</f>
        <v>#N/A</v>
      </c>
      <c r="B676" s="288" t="e">
        <f>INDEX(TBL_Manually_added_tariffs[ActivityType],MATCH(Additional_Inv_Proc_Tariff_List,TBL_Manually_added_tariffs[Activity],0))</f>
        <v>#N/A</v>
      </c>
      <c r="C676" s="156"/>
      <c r="D676" s="156"/>
      <c r="E676" s="35" t="e">
        <f>INDEX(TBL_Manually_added_tariffs[Cost (IF INVESTIGATION)],MATCH(Additional_Inv_Proc_Tariff_List,TBL_Manually_added_tariffs[Activity],0))</f>
        <v>#N/A</v>
      </c>
      <c r="F676" s="181"/>
    </row>
    <row r="677" spans="1:6" hidden="1" x14ac:dyDescent="0.2">
      <c r="A677" s="38" t="e">
        <f>INDEX(Non_Tariff_Cost,MATCH(0,INDEX(COUNTIF($A$205:A676,Non_Tariff_Cost),0,0),0))</f>
        <v>#N/A</v>
      </c>
      <c r="B677" s="288" t="e">
        <f>INDEX(TBL_Manually_added_tariffs[ActivityType],MATCH(Additional_Inv_Proc_Tariff_List,TBL_Manually_added_tariffs[Activity],0))</f>
        <v>#N/A</v>
      </c>
      <c r="C677" s="156"/>
      <c r="D677" s="156"/>
      <c r="E677" s="35" t="e">
        <f>INDEX(TBL_Manually_added_tariffs[Cost (IF INVESTIGATION)],MATCH(Additional_Inv_Proc_Tariff_List,TBL_Manually_added_tariffs[Activity],0))</f>
        <v>#N/A</v>
      </c>
      <c r="F677" s="181"/>
    </row>
    <row r="678" spans="1:6" hidden="1" x14ac:dyDescent="0.2">
      <c r="A678" s="38" t="e">
        <f>INDEX(Non_Tariff_Cost,MATCH(0,INDEX(COUNTIF($A$205:A677,Non_Tariff_Cost),0,0),0))</f>
        <v>#N/A</v>
      </c>
      <c r="B678" s="288" t="e">
        <f>INDEX(TBL_Manually_added_tariffs[ActivityType],MATCH(Additional_Inv_Proc_Tariff_List,TBL_Manually_added_tariffs[Activity],0))</f>
        <v>#N/A</v>
      </c>
      <c r="C678" s="156"/>
      <c r="D678" s="156"/>
      <c r="E678" s="35" t="e">
        <f>INDEX(TBL_Manually_added_tariffs[Cost (IF INVESTIGATION)],MATCH(Additional_Inv_Proc_Tariff_List,TBL_Manually_added_tariffs[Activity],0))</f>
        <v>#N/A</v>
      </c>
      <c r="F678" s="181"/>
    </row>
    <row r="679" spans="1:6" hidden="1" x14ac:dyDescent="0.2">
      <c r="A679" s="38" t="e">
        <f>INDEX(Non_Tariff_Cost,MATCH(0,INDEX(COUNTIF($A$205:A678,Non_Tariff_Cost),0,0),0))</f>
        <v>#N/A</v>
      </c>
      <c r="B679" s="288" t="e">
        <f>INDEX(TBL_Manually_added_tariffs[ActivityType],MATCH(Additional_Inv_Proc_Tariff_List,TBL_Manually_added_tariffs[Activity],0))</f>
        <v>#N/A</v>
      </c>
      <c r="C679" s="156"/>
      <c r="D679" s="156"/>
      <c r="E679" s="35" t="e">
        <f>INDEX(TBL_Manually_added_tariffs[Cost (IF INVESTIGATION)],MATCH(Additional_Inv_Proc_Tariff_List,TBL_Manually_added_tariffs[Activity],0))</f>
        <v>#N/A</v>
      </c>
      <c r="F679" s="181"/>
    </row>
    <row r="680" spans="1:6" hidden="1" x14ac:dyDescent="0.2">
      <c r="A680" s="38" t="e">
        <f>INDEX(Non_Tariff_Cost,MATCH(0,INDEX(COUNTIF($A$205:A679,Non_Tariff_Cost),0,0),0))</f>
        <v>#N/A</v>
      </c>
      <c r="B680" s="288" t="e">
        <f>INDEX(TBL_Manually_added_tariffs[ActivityType],MATCH(Additional_Inv_Proc_Tariff_List,TBL_Manually_added_tariffs[Activity],0))</f>
        <v>#N/A</v>
      </c>
      <c r="C680" s="156"/>
      <c r="D680" s="156"/>
      <c r="E680" s="35" t="e">
        <f>INDEX(TBL_Manually_added_tariffs[Cost (IF INVESTIGATION)],MATCH(Additional_Inv_Proc_Tariff_List,TBL_Manually_added_tariffs[Activity],0))</f>
        <v>#N/A</v>
      </c>
      <c r="F680" s="181"/>
    </row>
    <row r="681" spans="1:6" hidden="1" x14ac:dyDescent="0.2">
      <c r="A681" s="38" t="e">
        <f>INDEX(Non_Tariff_Cost,MATCH(0,INDEX(COUNTIF($A$205:A680,Non_Tariff_Cost),0,0),0))</f>
        <v>#N/A</v>
      </c>
      <c r="B681" s="288" t="e">
        <f>INDEX(TBL_Manually_added_tariffs[ActivityType],MATCH(Additional_Inv_Proc_Tariff_List,TBL_Manually_added_tariffs[Activity],0))</f>
        <v>#N/A</v>
      </c>
      <c r="C681" s="156"/>
      <c r="D681" s="156"/>
      <c r="E681" s="35" t="e">
        <f>INDEX(TBL_Manually_added_tariffs[Cost (IF INVESTIGATION)],MATCH(Additional_Inv_Proc_Tariff_List,TBL_Manually_added_tariffs[Activity],0))</f>
        <v>#N/A</v>
      </c>
      <c r="F681" s="181"/>
    </row>
    <row r="682" spans="1:6" hidden="1" x14ac:dyDescent="0.2">
      <c r="A682" s="38" t="e">
        <f>INDEX(Non_Tariff_Cost,MATCH(0,INDEX(COUNTIF($A$205:A681,Non_Tariff_Cost),0,0),0))</f>
        <v>#N/A</v>
      </c>
      <c r="B682" s="288" t="e">
        <f>INDEX(TBL_Manually_added_tariffs[ActivityType],MATCH(Additional_Inv_Proc_Tariff_List,TBL_Manually_added_tariffs[Activity],0))</f>
        <v>#N/A</v>
      </c>
      <c r="C682" s="156"/>
      <c r="D682" s="156"/>
      <c r="E682" s="35" t="e">
        <f>INDEX(TBL_Manually_added_tariffs[Cost (IF INVESTIGATION)],MATCH(Additional_Inv_Proc_Tariff_List,TBL_Manually_added_tariffs[Activity],0))</f>
        <v>#N/A</v>
      </c>
      <c r="F682" s="181"/>
    </row>
    <row r="683" spans="1:6" hidden="1" x14ac:dyDescent="0.2">
      <c r="A683" s="38" t="e">
        <f>INDEX(Non_Tariff_Cost,MATCH(0,INDEX(COUNTIF($A$205:A682,Non_Tariff_Cost),0,0),0))</f>
        <v>#N/A</v>
      </c>
      <c r="B683" s="288" t="e">
        <f>INDEX(TBL_Manually_added_tariffs[ActivityType],MATCH(Additional_Inv_Proc_Tariff_List,TBL_Manually_added_tariffs[Activity],0))</f>
        <v>#N/A</v>
      </c>
      <c r="C683" s="156"/>
      <c r="D683" s="156"/>
      <c r="E683" s="35" t="e">
        <f>INDEX(TBL_Manually_added_tariffs[Cost (IF INVESTIGATION)],MATCH(Additional_Inv_Proc_Tariff_List,TBL_Manually_added_tariffs[Activity],0))</f>
        <v>#N/A</v>
      </c>
      <c r="F683" s="181"/>
    </row>
    <row r="684" spans="1:6" hidden="1" x14ac:dyDescent="0.2">
      <c r="A684" s="38" t="e">
        <f>INDEX(Non_Tariff_Cost,MATCH(0,INDEX(COUNTIF($A$205:A683,Non_Tariff_Cost),0,0),0))</f>
        <v>#N/A</v>
      </c>
      <c r="B684" s="288" t="e">
        <f>INDEX(TBL_Manually_added_tariffs[ActivityType],MATCH(Additional_Inv_Proc_Tariff_List,TBL_Manually_added_tariffs[Activity],0))</f>
        <v>#N/A</v>
      </c>
      <c r="C684" s="156"/>
      <c r="D684" s="156"/>
      <c r="E684" s="35" t="e">
        <f>INDEX(TBL_Manually_added_tariffs[Cost (IF INVESTIGATION)],MATCH(Additional_Inv_Proc_Tariff_List,TBL_Manually_added_tariffs[Activity],0))</f>
        <v>#N/A</v>
      </c>
      <c r="F684" s="181"/>
    </row>
    <row r="685" spans="1:6" hidden="1" x14ac:dyDescent="0.2">
      <c r="A685" s="38" t="e">
        <f>INDEX(Non_Tariff_Cost,MATCH(0,INDEX(COUNTIF($A$205:A684,Non_Tariff_Cost),0,0),0))</f>
        <v>#N/A</v>
      </c>
      <c r="B685" s="288" t="e">
        <f>INDEX(TBL_Manually_added_tariffs[ActivityType],MATCH(Additional_Inv_Proc_Tariff_List,TBL_Manually_added_tariffs[Activity],0))</f>
        <v>#N/A</v>
      </c>
      <c r="C685" s="156"/>
      <c r="D685" s="156"/>
      <c r="E685" s="35" t="e">
        <f>INDEX(TBL_Manually_added_tariffs[Cost (IF INVESTIGATION)],MATCH(Additional_Inv_Proc_Tariff_List,TBL_Manually_added_tariffs[Activity],0))</f>
        <v>#N/A</v>
      </c>
      <c r="F685" s="181"/>
    </row>
    <row r="686" spans="1:6" hidden="1" x14ac:dyDescent="0.2">
      <c r="A686" s="38" t="e">
        <f>INDEX(Non_Tariff_Cost,MATCH(0,INDEX(COUNTIF($A$205:A685,Non_Tariff_Cost),0,0),0))</f>
        <v>#N/A</v>
      </c>
      <c r="B686" s="288" t="e">
        <f>INDEX(TBL_Manually_added_tariffs[ActivityType],MATCH(Additional_Inv_Proc_Tariff_List,TBL_Manually_added_tariffs[Activity],0))</f>
        <v>#N/A</v>
      </c>
      <c r="C686" s="156"/>
      <c r="D686" s="156"/>
      <c r="E686" s="35" t="e">
        <f>INDEX(TBL_Manually_added_tariffs[Cost (IF INVESTIGATION)],MATCH(Additional_Inv_Proc_Tariff_List,TBL_Manually_added_tariffs[Activity],0))</f>
        <v>#N/A</v>
      </c>
      <c r="F686" s="181"/>
    </row>
    <row r="687" spans="1:6" hidden="1" x14ac:dyDescent="0.2">
      <c r="A687" s="38" t="e">
        <f>INDEX(Non_Tariff_Cost,MATCH(0,INDEX(COUNTIF($A$205:A686,Non_Tariff_Cost),0,0),0))</f>
        <v>#N/A</v>
      </c>
      <c r="B687" s="288" t="e">
        <f>INDEX(TBL_Manually_added_tariffs[ActivityType],MATCH(Additional_Inv_Proc_Tariff_List,TBL_Manually_added_tariffs[Activity],0))</f>
        <v>#N/A</v>
      </c>
      <c r="C687" s="156"/>
      <c r="D687" s="156"/>
      <c r="E687" s="35" t="e">
        <f>INDEX(TBL_Manually_added_tariffs[Cost (IF INVESTIGATION)],MATCH(Additional_Inv_Proc_Tariff_List,TBL_Manually_added_tariffs[Activity],0))</f>
        <v>#N/A</v>
      </c>
      <c r="F687" s="181"/>
    </row>
    <row r="688" spans="1:6" hidden="1" x14ac:dyDescent="0.2">
      <c r="A688" s="38" t="e">
        <f>INDEX(Non_Tariff_Cost,MATCH(0,INDEX(COUNTIF($A$205:A687,Non_Tariff_Cost),0,0),0))</f>
        <v>#N/A</v>
      </c>
      <c r="B688" s="288" t="e">
        <f>INDEX(TBL_Manually_added_tariffs[ActivityType],MATCH(Additional_Inv_Proc_Tariff_List,TBL_Manually_added_tariffs[Activity],0))</f>
        <v>#N/A</v>
      </c>
      <c r="C688" s="156"/>
      <c r="D688" s="156"/>
      <c r="E688" s="35" t="e">
        <f>INDEX(TBL_Manually_added_tariffs[Cost (IF INVESTIGATION)],MATCH(Additional_Inv_Proc_Tariff_List,TBL_Manually_added_tariffs[Activity],0))</f>
        <v>#N/A</v>
      </c>
      <c r="F688" s="181"/>
    </row>
    <row r="689" spans="1:6" hidden="1" x14ac:dyDescent="0.2">
      <c r="A689" s="38" t="e">
        <f>INDEX(Non_Tariff_Cost,MATCH(0,INDEX(COUNTIF($A$205:A688,Non_Tariff_Cost),0,0),0))</f>
        <v>#N/A</v>
      </c>
      <c r="B689" s="288" t="e">
        <f>INDEX(TBL_Manually_added_tariffs[ActivityType],MATCH(Additional_Inv_Proc_Tariff_List,TBL_Manually_added_tariffs[Activity],0))</f>
        <v>#N/A</v>
      </c>
      <c r="C689" s="156"/>
      <c r="D689" s="156"/>
      <c r="E689" s="35" t="e">
        <f>INDEX(TBL_Manually_added_tariffs[Cost (IF INVESTIGATION)],MATCH(Additional_Inv_Proc_Tariff_List,TBL_Manually_added_tariffs[Activity],0))</f>
        <v>#N/A</v>
      </c>
      <c r="F689" s="181"/>
    </row>
    <row r="690" spans="1:6" hidden="1" x14ac:dyDescent="0.2">
      <c r="A690" s="38" t="e">
        <f>INDEX(Non_Tariff_Cost,MATCH(0,INDEX(COUNTIF($A$205:A689,Non_Tariff_Cost),0,0),0))</f>
        <v>#N/A</v>
      </c>
      <c r="B690" s="288" t="e">
        <f>INDEX(TBL_Manually_added_tariffs[ActivityType],MATCH(Additional_Inv_Proc_Tariff_List,TBL_Manually_added_tariffs[Activity],0))</f>
        <v>#N/A</v>
      </c>
      <c r="C690" s="156"/>
      <c r="D690" s="156"/>
      <c r="E690" s="35" t="e">
        <f>INDEX(TBL_Manually_added_tariffs[Cost (IF INVESTIGATION)],MATCH(Additional_Inv_Proc_Tariff_List,TBL_Manually_added_tariffs[Activity],0))</f>
        <v>#N/A</v>
      </c>
      <c r="F690" s="181"/>
    </row>
    <row r="691" spans="1:6" hidden="1" x14ac:dyDescent="0.2">
      <c r="A691" s="38" t="e">
        <f>INDEX(Non_Tariff_Cost,MATCH(0,INDEX(COUNTIF($A$205:A690,Non_Tariff_Cost),0,0),0))</f>
        <v>#N/A</v>
      </c>
      <c r="B691" s="288" t="e">
        <f>INDEX(TBL_Manually_added_tariffs[ActivityType],MATCH(Additional_Inv_Proc_Tariff_List,TBL_Manually_added_tariffs[Activity],0))</f>
        <v>#N/A</v>
      </c>
      <c r="C691" s="156"/>
      <c r="D691" s="156"/>
      <c r="E691" s="35" t="e">
        <f>INDEX(TBL_Manually_added_tariffs[Cost (IF INVESTIGATION)],MATCH(Additional_Inv_Proc_Tariff_List,TBL_Manually_added_tariffs[Activity],0))</f>
        <v>#N/A</v>
      </c>
      <c r="F691" s="181"/>
    </row>
    <row r="692" spans="1:6" hidden="1" x14ac:dyDescent="0.2">
      <c r="A692" s="38" t="e">
        <f>INDEX(Non_Tariff_Cost,MATCH(0,INDEX(COUNTIF($A$205:A691,Non_Tariff_Cost),0,0),0))</f>
        <v>#N/A</v>
      </c>
      <c r="B692" s="288" t="e">
        <f>INDEX(TBL_Manually_added_tariffs[ActivityType],MATCH(Additional_Inv_Proc_Tariff_List,TBL_Manually_added_tariffs[Activity],0))</f>
        <v>#N/A</v>
      </c>
      <c r="C692" s="156"/>
      <c r="D692" s="156"/>
      <c r="E692" s="35" t="e">
        <f>INDEX(TBL_Manually_added_tariffs[Cost (IF INVESTIGATION)],MATCH(Additional_Inv_Proc_Tariff_List,TBL_Manually_added_tariffs[Activity],0))</f>
        <v>#N/A</v>
      </c>
      <c r="F692" s="181"/>
    </row>
    <row r="693" spans="1:6" hidden="1" x14ac:dyDescent="0.2">
      <c r="A693" s="38" t="e">
        <f>INDEX(Non_Tariff_Cost,MATCH(0,INDEX(COUNTIF($A$205:A692,Non_Tariff_Cost),0,0),0))</f>
        <v>#N/A</v>
      </c>
      <c r="B693" s="288" t="e">
        <f>INDEX(TBL_Manually_added_tariffs[ActivityType],MATCH(Additional_Inv_Proc_Tariff_List,TBL_Manually_added_tariffs[Activity],0))</f>
        <v>#N/A</v>
      </c>
      <c r="C693" s="156"/>
      <c r="D693" s="156"/>
      <c r="E693" s="35" t="e">
        <f>INDEX(TBL_Manually_added_tariffs[Cost (IF INVESTIGATION)],MATCH(Additional_Inv_Proc_Tariff_List,TBL_Manually_added_tariffs[Activity],0))</f>
        <v>#N/A</v>
      </c>
      <c r="F693" s="181"/>
    </row>
    <row r="694" spans="1:6" hidden="1" x14ac:dyDescent="0.2">
      <c r="A694" s="38" t="e">
        <f>INDEX(Non_Tariff_Cost,MATCH(0,INDEX(COUNTIF($A$205:A693,Non_Tariff_Cost),0,0),0))</f>
        <v>#N/A</v>
      </c>
      <c r="B694" s="288" t="e">
        <f>INDEX(TBL_Manually_added_tariffs[ActivityType],MATCH(Additional_Inv_Proc_Tariff_List,TBL_Manually_added_tariffs[Activity],0))</f>
        <v>#N/A</v>
      </c>
      <c r="C694" s="156"/>
      <c r="D694" s="156"/>
      <c r="E694" s="35" t="e">
        <f>INDEX(TBL_Manually_added_tariffs[Cost (IF INVESTIGATION)],MATCH(Additional_Inv_Proc_Tariff_List,TBL_Manually_added_tariffs[Activity],0))</f>
        <v>#N/A</v>
      </c>
      <c r="F694" s="181"/>
    </row>
    <row r="695" spans="1:6" hidden="1" x14ac:dyDescent="0.2">
      <c r="A695" s="38" t="e">
        <f>INDEX(Non_Tariff_Cost,MATCH(0,INDEX(COUNTIF($A$205:A694,Non_Tariff_Cost),0,0),0))</f>
        <v>#N/A</v>
      </c>
      <c r="B695" s="288" t="e">
        <f>INDEX(TBL_Manually_added_tariffs[ActivityType],MATCH(Additional_Inv_Proc_Tariff_List,TBL_Manually_added_tariffs[Activity],0))</f>
        <v>#N/A</v>
      </c>
      <c r="C695" s="156"/>
      <c r="D695" s="156"/>
      <c r="E695" s="35" t="e">
        <f>INDEX(TBL_Manually_added_tariffs[Cost (IF INVESTIGATION)],MATCH(Additional_Inv_Proc_Tariff_List,TBL_Manually_added_tariffs[Activity],0))</f>
        <v>#N/A</v>
      </c>
      <c r="F695" s="181"/>
    </row>
    <row r="696" spans="1:6" hidden="1" x14ac:dyDescent="0.2">
      <c r="A696" s="38" t="e">
        <f>INDEX(Non_Tariff_Cost,MATCH(0,INDEX(COUNTIF($A$205:A695,Non_Tariff_Cost),0,0),0))</f>
        <v>#N/A</v>
      </c>
      <c r="B696" s="288" t="e">
        <f>INDEX(TBL_Manually_added_tariffs[ActivityType],MATCH(Additional_Inv_Proc_Tariff_List,TBL_Manually_added_tariffs[Activity],0))</f>
        <v>#N/A</v>
      </c>
      <c r="C696" s="156"/>
      <c r="D696" s="156"/>
      <c r="E696" s="35" t="e">
        <f>INDEX(TBL_Manually_added_tariffs[Cost (IF INVESTIGATION)],MATCH(Additional_Inv_Proc_Tariff_List,TBL_Manually_added_tariffs[Activity],0))</f>
        <v>#N/A</v>
      </c>
      <c r="F696" s="181"/>
    </row>
    <row r="697" spans="1:6" hidden="1" x14ac:dyDescent="0.2">
      <c r="A697" s="38" t="e">
        <f>INDEX(Non_Tariff_Cost,MATCH(0,INDEX(COUNTIF($A$205:A696,Non_Tariff_Cost),0,0),0))</f>
        <v>#N/A</v>
      </c>
      <c r="B697" s="288" t="e">
        <f>INDEX(TBL_Manually_added_tariffs[ActivityType],MATCH(Additional_Inv_Proc_Tariff_List,TBL_Manually_added_tariffs[Activity],0))</f>
        <v>#N/A</v>
      </c>
      <c r="C697" s="156"/>
      <c r="D697" s="156"/>
      <c r="E697" s="35" t="e">
        <f>INDEX(TBL_Manually_added_tariffs[Cost (IF INVESTIGATION)],MATCH(Additional_Inv_Proc_Tariff_List,TBL_Manually_added_tariffs[Activity],0))</f>
        <v>#N/A</v>
      </c>
      <c r="F697" s="181"/>
    </row>
    <row r="698" spans="1:6" hidden="1" x14ac:dyDescent="0.2">
      <c r="A698" s="38" t="e">
        <f>INDEX(Non_Tariff_Cost,MATCH(0,INDEX(COUNTIF($A$205:A697,Non_Tariff_Cost),0,0),0))</f>
        <v>#N/A</v>
      </c>
      <c r="B698" s="288" t="e">
        <f>INDEX(TBL_Manually_added_tariffs[ActivityType],MATCH(Additional_Inv_Proc_Tariff_List,TBL_Manually_added_tariffs[Activity],0))</f>
        <v>#N/A</v>
      </c>
      <c r="C698" s="156"/>
      <c r="D698" s="156"/>
      <c r="E698" s="35" t="e">
        <f>INDEX(TBL_Manually_added_tariffs[Cost (IF INVESTIGATION)],MATCH(Additional_Inv_Proc_Tariff_List,TBL_Manually_added_tariffs[Activity],0))</f>
        <v>#N/A</v>
      </c>
      <c r="F698" s="181"/>
    </row>
    <row r="699" spans="1:6" hidden="1" x14ac:dyDescent="0.2">
      <c r="A699" s="38" t="e">
        <f>INDEX(Non_Tariff_Cost,MATCH(0,INDEX(COUNTIF($A$205:A698,Non_Tariff_Cost),0,0),0))</f>
        <v>#N/A</v>
      </c>
      <c r="B699" s="288" t="e">
        <f>INDEX(TBL_Manually_added_tariffs[ActivityType],MATCH(Additional_Inv_Proc_Tariff_List,TBL_Manually_added_tariffs[Activity],0))</f>
        <v>#N/A</v>
      </c>
      <c r="C699" s="156"/>
      <c r="D699" s="156"/>
      <c r="E699" s="35" t="e">
        <f>INDEX(TBL_Manually_added_tariffs[Cost (IF INVESTIGATION)],MATCH(Additional_Inv_Proc_Tariff_List,TBL_Manually_added_tariffs[Activity],0))</f>
        <v>#N/A</v>
      </c>
      <c r="F699" s="181"/>
    </row>
    <row r="700" spans="1:6" hidden="1" x14ac:dyDescent="0.2">
      <c r="A700" s="38" t="e">
        <f>INDEX(Non_Tariff_Cost,MATCH(0,INDEX(COUNTIF($A$205:A699,Non_Tariff_Cost),0,0),0))</f>
        <v>#N/A</v>
      </c>
      <c r="B700" s="288" t="e">
        <f>INDEX(TBL_Manually_added_tariffs[ActivityType],MATCH(Additional_Inv_Proc_Tariff_List,TBL_Manually_added_tariffs[Activity],0))</f>
        <v>#N/A</v>
      </c>
      <c r="C700" s="156"/>
      <c r="D700" s="156"/>
      <c r="E700" s="35" t="e">
        <f>INDEX(TBL_Manually_added_tariffs[Cost (IF INVESTIGATION)],MATCH(Additional_Inv_Proc_Tariff_List,TBL_Manually_added_tariffs[Activity],0))</f>
        <v>#N/A</v>
      </c>
      <c r="F700" s="181"/>
    </row>
    <row r="701" spans="1:6" hidden="1" x14ac:dyDescent="0.2">
      <c r="A701" s="38" t="e">
        <f>INDEX(Non_Tariff_Cost,MATCH(0,INDEX(COUNTIF($A$205:A700,Non_Tariff_Cost),0,0),0))</f>
        <v>#N/A</v>
      </c>
      <c r="B701" s="288" t="e">
        <f>INDEX(TBL_Manually_added_tariffs[ActivityType],MATCH(Additional_Inv_Proc_Tariff_List,TBL_Manually_added_tariffs[Activity],0))</f>
        <v>#N/A</v>
      </c>
      <c r="C701" s="156"/>
      <c r="D701" s="156"/>
      <c r="E701" s="35" t="e">
        <f>INDEX(TBL_Manually_added_tariffs[Cost (IF INVESTIGATION)],MATCH(Additional_Inv_Proc_Tariff_List,TBL_Manually_added_tariffs[Activity],0))</f>
        <v>#N/A</v>
      </c>
      <c r="F701" s="181"/>
    </row>
    <row r="702" spans="1:6" hidden="1" x14ac:dyDescent="0.2">
      <c r="A702" s="38" t="e">
        <f>INDEX(Non_Tariff_Cost,MATCH(0,INDEX(COUNTIF($A$205:A701,Non_Tariff_Cost),0,0),0))</f>
        <v>#N/A</v>
      </c>
      <c r="B702" s="288" t="e">
        <f>INDEX(TBL_Manually_added_tariffs[ActivityType],MATCH(Additional_Inv_Proc_Tariff_List,TBL_Manually_added_tariffs[Activity],0))</f>
        <v>#N/A</v>
      </c>
      <c r="C702" s="156"/>
      <c r="D702" s="156"/>
      <c r="E702" s="35" t="e">
        <f>INDEX(TBL_Manually_added_tariffs[Cost (IF INVESTIGATION)],MATCH(Additional_Inv_Proc_Tariff_List,TBL_Manually_added_tariffs[Activity],0))</f>
        <v>#N/A</v>
      </c>
      <c r="F702" s="181"/>
    </row>
    <row r="703" spans="1:6" hidden="1" x14ac:dyDescent="0.2">
      <c r="A703" s="38" t="e">
        <f>INDEX(Non_Tariff_Cost,MATCH(0,INDEX(COUNTIF($A$205:A702,Non_Tariff_Cost),0,0),0))</f>
        <v>#N/A</v>
      </c>
      <c r="B703" s="288" t="e">
        <f>INDEX(TBL_Manually_added_tariffs[ActivityType],MATCH(Additional_Inv_Proc_Tariff_List,TBL_Manually_added_tariffs[Activity],0))</f>
        <v>#N/A</v>
      </c>
      <c r="C703" s="156"/>
      <c r="D703" s="156"/>
      <c r="E703" s="35" t="e">
        <f>INDEX(TBL_Manually_added_tariffs[Cost (IF INVESTIGATION)],MATCH(Additional_Inv_Proc_Tariff_List,TBL_Manually_added_tariffs[Activity],0))</f>
        <v>#N/A</v>
      </c>
      <c r="F703" s="181"/>
    </row>
    <row r="704" spans="1:6" hidden="1" x14ac:dyDescent="0.2">
      <c r="A704" s="38" t="e">
        <f>INDEX(Non_Tariff_Cost,MATCH(0,INDEX(COUNTIF($A$205:A703,Non_Tariff_Cost),0,0),0))</f>
        <v>#N/A</v>
      </c>
      <c r="B704" s="288" t="e">
        <f>INDEX(TBL_Manually_added_tariffs[ActivityType],MATCH(Additional_Inv_Proc_Tariff_List,TBL_Manually_added_tariffs[Activity],0))</f>
        <v>#N/A</v>
      </c>
      <c r="C704" s="156"/>
      <c r="D704" s="156"/>
      <c r="E704" s="35" t="e">
        <f>INDEX(TBL_Manually_added_tariffs[Cost (IF INVESTIGATION)],MATCH(Additional_Inv_Proc_Tariff_List,TBL_Manually_added_tariffs[Activity],0))</f>
        <v>#N/A</v>
      </c>
      <c r="F704" s="181"/>
    </row>
    <row r="705" spans="1:6" hidden="1" x14ac:dyDescent="0.2">
      <c r="A705" s="38" t="e">
        <f>INDEX(Non_Tariff_Cost,MATCH(0,INDEX(COUNTIF($A$205:A704,Non_Tariff_Cost),0,0),0))</f>
        <v>#N/A</v>
      </c>
      <c r="B705" s="288" t="e">
        <f>INDEX(TBL_Manually_added_tariffs[ActivityType],MATCH(Additional_Inv_Proc_Tariff_List,TBL_Manually_added_tariffs[Activity],0))</f>
        <v>#N/A</v>
      </c>
      <c r="C705" s="156"/>
      <c r="D705" s="156"/>
      <c r="E705" s="35" t="e">
        <f>INDEX(TBL_Manually_added_tariffs[Cost (IF INVESTIGATION)],MATCH(Additional_Inv_Proc_Tariff_List,TBL_Manually_added_tariffs[Activity],0))</f>
        <v>#N/A</v>
      </c>
      <c r="F705" s="181"/>
    </row>
    <row r="706" spans="1:6" hidden="1" x14ac:dyDescent="0.2">
      <c r="A706" s="38" t="e">
        <f>INDEX(Non_Tariff_Cost,MATCH(0,INDEX(COUNTIF($A$205:A705,Non_Tariff_Cost),0,0),0))</f>
        <v>#N/A</v>
      </c>
      <c r="B706" s="288" t="e">
        <f>INDEX(TBL_Manually_added_tariffs[ActivityType],MATCH(Additional_Inv_Proc_Tariff_List,TBL_Manually_added_tariffs[Activity],0))</f>
        <v>#N/A</v>
      </c>
      <c r="C706" s="156"/>
      <c r="D706" s="156"/>
      <c r="E706" s="35" t="e">
        <f>INDEX(TBL_Manually_added_tariffs[Cost (IF INVESTIGATION)],MATCH(Additional_Inv_Proc_Tariff_List,TBL_Manually_added_tariffs[Activity],0))</f>
        <v>#N/A</v>
      </c>
      <c r="F706" s="182"/>
    </row>
  </sheetData>
  <sheetProtection algorithmName="SHA-512" hashValue="Y3rhKd8W5e5o90u1/fu2JF869gSdbGcu1eU7C66cqZxZ78QxdSfEDNz1+5TPEHgk1tP1GP+/O8+Dgoe59zTh3g==" saltValue="nhDaM5MV1jmjHhy1YouCgA==" spinCount="100000" sheet="1" objects="1" scenarios="1"/>
  <dataValidations count="1">
    <dataValidation type="list" allowBlank="1" showInputMessage="1" showErrorMessage="1" sqref="B4:B205">
      <formula1>"Investigation, Procedure"</formula1>
    </dataValidation>
  </dataValidations>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FF0000"/>
  </sheetPr>
  <dimension ref="A1:M200"/>
  <sheetViews>
    <sheetView showGridLines="0" zoomScaleNormal="100" workbookViewId="0"/>
  </sheetViews>
  <sheetFormatPr defaultRowHeight="15" x14ac:dyDescent="0.25"/>
  <cols>
    <col min="1" max="1" width="56.140625" customWidth="1"/>
    <col min="2" max="2" width="41.85546875" customWidth="1"/>
    <col min="3" max="3" width="40.140625" customWidth="1"/>
    <col min="4" max="4" width="38" customWidth="1"/>
    <col min="5" max="5" width="37.42578125" customWidth="1"/>
    <col min="6" max="6" width="48.5703125" customWidth="1"/>
    <col min="7" max="7" width="44.42578125" customWidth="1"/>
    <col min="8" max="8" width="40.85546875" customWidth="1"/>
    <col min="9" max="9" width="58.85546875" customWidth="1"/>
    <col min="10" max="10" width="68" customWidth="1"/>
    <col min="11" max="11" width="22.140625" customWidth="1"/>
  </cols>
  <sheetData>
    <row r="1" spans="1:13" s="75" customFormat="1" ht="15.75" x14ac:dyDescent="0.25">
      <c r="A1" s="235"/>
    </row>
    <row r="2" spans="1:13" s="75" customFormat="1" ht="15.75" x14ac:dyDescent="0.25">
      <c r="A2" s="235"/>
    </row>
    <row r="3" spans="1:13" s="75" customFormat="1" x14ac:dyDescent="0.25">
      <c r="A3" s="190"/>
    </row>
    <row r="4" spans="1:13" s="75" customFormat="1" x14ac:dyDescent="0.25">
      <c r="A4" s="262" t="s">
        <v>138</v>
      </c>
      <c r="B4" s="263" t="s">
        <v>509</v>
      </c>
      <c r="C4" s="264" t="s">
        <v>137</v>
      </c>
      <c r="D4" s="265" t="s">
        <v>495</v>
      </c>
      <c r="E4" s="262" t="s">
        <v>136</v>
      </c>
      <c r="F4" s="263" t="s">
        <v>135</v>
      </c>
      <c r="M4" s="269" t="s">
        <v>192</v>
      </c>
    </row>
    <row r="5" spans="1:13" s="75" customFormat="1" x14ac:dyDescent="0.25">
      <c r="A5" s="191" t="s">
        <v>235</v>
      </c>
      <c r="B5" s="228" t="s">
        <v>139</v>
      </c>
      <c r="C5" s="204" t="s">
        <v>100</v>
      </c>
      <c r="D5" s="192" t="s">
        <v>181</v>
      </c>
      <c r="E5" s="193" t="s">
        <v>97</v>
      </c>
      <c r="F5" s="228" t="s">
        <v>345</v>
      </c>
      <c r="M5" s="270" t="s">
        <v>193</v>
      </c>
    </row>
    <row r="6" spans="1:13" s="75" customFormat="1" x14ac:dyDescent="0.25">
      <c r="A6" s="227" t="s">
        <v>508</v>
      </c>
      <c r="B6" s="228" t="s">
        <v>140</v>
      </c>
      <c r="C6" s="204" t="s">
        <v>99</v>
      </c>
      <c r="D6" s="192" t="s">
        <v>389</v>
      </c>
      <c r="E6" s="193" t="s">
        <v>98</v>
      </c>
      <c r="F6" s="194"/>
    </row>
    <row r="7" spans="1:13" s="75" customFormat="1" x14ac:dyDescent="0.25">
      <c r="A7" s="481" t="s">
        <v>494</v>
      </c>
      <c r="B7" s="228" t="s">
        <v>190</v>
      </c>
      <c r="D7" s="192" t="s">
        <v>180</v>
      </c>
      <c r="E7" s="193" t="s">
        <v>96</v>
      </c>
      <c r="F7" s="194"/>
    </row>
    <row r="8" spans="1:13" s="75" customFormat="1" ht="28.5" x14ac:dyDescent="0.25">
      <c r="A8" s="200" t="s">
        <v>161</v>
      </c>
      <c r="B8" s="229"/>
      <c r="C8" s="195"/>
      <c r="D8" s="193" t="s">
        <v>179</v>
      </c>
      <c r="E8" s="226" t="s">
        <v>522</v>
      </c>
      <c r="F8" s="194"/>
    </row>
    <row r="9" spans="1:13" s="75" customFormat="1" x14ac:dyDescent="0.25">
      <c r="A9" s="191" t="s">
        <v>143</v>
      </c>
      <c r="B9" s="200"/>
      <c r="C9" s="194"/>
      <c r="E9" s="193"/>
      <c r="F9" s="194"/>
    </row>
    <row r="10" spans="1:13" s="75" customFormat="1" x14ac:dyDescent="0.25">
      <c r="A10" s="191" t="s">
        <v>160</v>
      </c>
      <c r="B10" s="200"/>
      <c r="C10" s="194"/>
      <c r="D10" s="194"/>
      <c r="E10" s="194"/>
      <c r="F10" s="194"/>
    </row>
    <row r="11" spans="1:13" s="75" customFormat="1" x14ac:dyDescent="0.25">
      <c r="B11" s="211"/>
    </row>
    <row r="12" spans="1:13" s="75" customFormat="1" x14ac:dyDescent="0.25">
      <c r="A12" s="196"/>
      <c r="D12" s="197"/>
      <c r="E12" s="197"/>
    </row>
    <row r="13" spans="1:13" s="268" customFormat="1" x14ac:dyDescent="0.25">
      <c r="A13" s="262" t="s">
        <v>134</v>
      </c>
      <c r="B13" s="264" t="s">
        <v>158</v>
      </c>
      <c r="C13" s="264" t="s">
        <v>128</v>
      </c>
      <c r="D13" s="266" t="s">
        <v>130</v>
      </c>
      <c r="E13" s="264" t="s">
        <v>101</v>
      </c>
      <c r="F13" s="264" t="s">
        <v>129</v>
      </c>
      <c r="G13" s="262" t="s">
        <v>131</v>
      </c>
      <c r="H13" s="264" t="s">
        <v>132</v>
      </c>
      <c r="I13" s="267" t="s">
        <v>133</v>
      </c>
    </row>
    <row r="14" spans="1:13" s="75" customFormat="1" ht="27.6" customHeight="1" x14ac:dyDescent="0.2">
      <c r="A14" s="230" t="s">
        <v>164</v>
      </c>
      <c r="B14" s="231" t="s">
        <v>30</v>
      </c>
      <c r="C14" s="232" t="s">
        <v>258</v>
      </c>
      <c r="D14" s="232" t="s">
        <v>69</v>
      </c>
      <c r="E14" s="232" t="s">
        <v>387</v>
      </c>
      <c r="F14" s="232" t="s">
        <v>58</v>
      </c>
      <c r="G14" s="232" t="s">
        <v>49</v>
      </c>
      <c r="H14" s="232" t="s">
        <v>51</v>
      </c>
      <c r="I14" s="232" t="s">
        <v>47</v>
      </c>
    </row>
    <row r="15" spans="1:13" s="75" customFormat="1" ht="13.9" customHeight="1" x14ac:dyDescent="0.2">
      <c r="A15" s="230" t="s">
        <v>165</v>
      </c>
      <c r="B15" s="233" t="s">
        <v>256</v>
      </c>
      <c r="C15" s="232" t="s">
        <v>259</v>
      </c>
      <c r="D15" s="232" t="s">
        <v>71</v>
      </c>
      <c r="E15" s="232" t="s">
        <v>102</v>
      </c>
      <c r="F15" s="232" t="s">
        <v>59</v>
      </c>
      <c r="G15" s="232" t="s">
        <v>66</v>
      </c>
      <c r="H15" s="232" t="s">
        <v>50</v>
      </c>
      <c r="I15" s="232" t="s">
        <v>48</v>
      </c>
    </row>
    <row r="16" spans="1:13" s="75" customFormat="1" ht="27.6" customHeight="1" x14ac:dyDescent="0.2">
      <c r="A16" s="230" t="s">
        <v>145</v>
      </c>
      <c r="B16" s="231"/>
      <c r="C16" s="232" t="s">
        <v>260</v>
      </c>
      <c r="D16" s="232" t="s">
        <v>72</v>
      </c>
      <c r="E16" s="232" t="s">
        <v>103</v>
      </c>
      <c r="F16" s="232" t="s">
        <v>60</v>
      </c>
      <c r="G16" s="232" t="s">
        <v>67</v>
      </c>
      <c r="H16" s="232" t="s">
        <v>46</v>
      </c>
      <c r="I16" s="232" t="s">
        <v>53</v>
      </c>
    </row>
    <row r="17" spans="1:9" s="75" customFormat="1" ht="27.6" customHeight="1" x14ac:dyDescent="0.2">
      <c r="A17" s="230" t="s">
        <v>163</v>
      </c>
      <c r="B17" s="92"/>
      <c r="C17" s="232" t="s">
        <v>261</v>
      </c>
      <c r="D17" s="232" t="s">
        <v>73</v>
      </c>
      <c r="E17" s="228" t="s">
        <v>390</v>
      </c>
      <c r="F17" s="232" t="s">
        <v>77</v>
      </c>
      <c r="G17" s="232" t="s">
        <v>68</v>
      </c>
      <c r="H17" s="232" t="s">
        <v>45</v>
      </c>
      <c r="I17" s="232" t="s">
        <v>56</v>
      </c>
    </row>
    <row r="18" spans="1:9" s="75" customFormat="1" ht="27.6" customHeight="1" x14ac:dyDescent="0.2">
      <c r="A18" s="230" t="s">
        <v>235</v>
      </c>
      <c r="B18" s="92"/>
      <c r="C18" s="232" t="s">
        <v>262</v>
      </c>
      <c r="D18" s="232" t="s">
        <v>74</v>
      </c>
      <c r="E18" s="232" t="s">
        <v>177</v>
      </c>
      <c r="F18" s="232" t="s">
        <v>78</v>
      </c>
      <c r="G18" s="232" t="s">
        <v>38</v>
      </c>
      <c r="I18" s="232" t="s">
        <v>57</v>
      </c>
    </row>
    <row r="19" spans="1:9" s="75" customFormat="1" ht="28.5" x14ac:dyDescent="0.2">
      <c r="A19" s="230" t="s">
        <v>228</v>
      </c>
      <c r="B19" s="92"/>
      <c r="C19" s="232" t="s">
        <v>263</v>
      </c>
      <c r="D19" s="232" t="s">
        <v>284</v>
      </c>
      <c r="E19" s="232" t="s">
        <v>105</v>
      </c>
      <c r="F19" s="232" t="s">
        <v>79</v>
      </c>
      <c r="G19" s="232" t="s">
        <v>32</v>
      </c>
      <c r="H19" s="234"/>
      <c r="I19" s="232" t="s">
        <v>52</v>
      </c>
    </row>
    <row r="20" spans="1:9" s="75" customFormat="1" ht="42.75" x14ac:dyDescent="0.2">
      <c r="A20" s="230" t="s">
        <v>146</v>
      </c>
      <c r="B20" s="92"/>
      <c r="C20" s="232" t="s">
        <v>264</v>
      </c>
      <c r="D20" s="232" t="s">
        <v>76</v>
      </c>
      <c r="E20" s="232" t="s">
        <v>104</v>
      </c>
      <c r="F20" s="232" t="s">
        <v>80</v>
      </c>
      <c r="G20" s="232" t="s">
        <v>33</v>
      </c>
      <c r="H20" s="92"/>
      <c r="I20" s="232" t="s">
        <v>55</v>
      </c>
    </row>
    <row r="21" spans="1:9" s="75" customFormat="1" ht="28.5" x14ac:dyDescent="0.2">
      <c r="A21" s="230" t="s">
        <v>162</v>
      </c>
      <c r="B21" s="92"/>
      <c r="C21" s="232" t="s">
        <v>265</v>
      </c>
      <c r="D21" s="232" t="s">
        <v>84</v>
      </c>
      <c r="E21" s="480" t="s">
        <v>178</v>
      </c>
      <c r="F21" s="232" t="s">
        <v>81</v>
      </c>
      <c r="G21" s="232" t="s">
        <v>70</v>
      </c>
      <c r="H21" s="92"/>
      <c r="I21" s="232" t="s">
        <v>44</v>
      </c>
    </row>
    <row r="22" spans="1:9" s="75" customFormat="1" ht="14.25" customHeight="1" x14ac:dyDescent="0.2">
      <c r="A22" s="230" t="s">
        <v>101</v>
      </c>
      <c r="B22" s="92"/>
      <c r="C22" s="232" t="s">
        <v>61</v>
      </c>
      <c r="D22" s="232" t="s">
        <v>85</v>
      </c>
      <c r="E22" s="232" t="s">
        <v>388</v>
      </c>
      <c r="F22" s="92"/>
      <c r="G22" s="232" t="s">
        <v>39</v>
      </c>
      <c r="H22" s="92"/>
      <c r="I22" s="232" t="s">
        <v>31</v>
      </c>
    </row>
    <row r="23" spans="1:9" s="75" customFormat="1" ht="28.5" x14ac:dyDescent="0.2">
      <c r="A23" s="92"/>
      <c r="B23" s="92"/>
      <c r="C23" s="232" t="s">
        <v>62</v>
      </c>
      <c r="D23" s="232" t="s">
        <v>86</v>
      </c>
      <c r="F23" s="92"/>
      <c r="G23" s="232" t="s">
        <v>42</v>
      </c>
      <c r="H23" s="92"/>
      <c r="I23" s="232" t="s">
        <v>257</v>
      </c>
    </row>
    <row r="24" spans="1:9" s="75" customFormat="1" ht="14.25" x14ac:dyDescent="0.2">
      <c r="A24" s="219"/>
      <c r="C24" s="232" t="s">
        <v>63</v>
      </c>
      <c r="D24" s="232" t="s">
        <v>87</v>
      </c>
      <c r="G24" s="232" t="s">
        <v>40</v>
      </c>
      <c r="I24" s="232" t="s">
        <v>176</v>
      </c>
    </row>
    <row r="25" spans="1:9" s="75" customFormat="1" ht="28.5" x14ac:dyDescent="0.25">
      <c r="A25" s="214" t="s">
        <v>159</v>
      </c>
      <c r="B25" s="198"/>
      <c r="C25" s="232" t="s">
        <v>64</v>
      </c>
      <c r="D25" s="232" t="s">
        <v>75</v>
      </c>
      <c r="G25" s="232" t="s">
        <v>41</v>
      </c>
      <c r="I25" s="232" t="s">
        <v>366</v>
      </c>
    </row>
    <row r="26" spans="1:9" s="75" customFormat="1" ht="28.5" x14ac:dyDescent="0.2">
      <c r="A26" s="210" t="s">
        <v>145</v>
      </c>
      <c r="B26" s="199"/>
      <c r="C26" s="232" t="s">
        <v>65</v>
      </c>
      <c r="D26" s="232" t="s">
        <v>88</v>
      </c>
      <c r="G26" s="232" t="s">
        <v>35</v>
      </c>
      <c r="I26" s="232" t="s">
        <v>43</v>
      </c>
    </row>
    <row r="27" spans="1:9" s="75" customFormat="1" ht="14.25" x14ac:dyDescent="0.2">
      <c r="A27" s="210" t="s">
        <v>163</v>
      </c>
      <c r="B27" s="199"/>
      <c r="C27" s="232" t="s">
        <v>367</v>
      </c>
      <c r="D27" s="232" t="s">
        <v>89</v>
      </c>
      <c r="G27" s="232" t="s">
        <v>37</v>
      </c>
      <c r="I27" s="232" t="s">
        <v>54</v>
      </c>
    </row>
    <row r="28" spans="1:9" s="75" customFormat="1" ht="14.25" x14ac:dyDescent="0.2">
      <c r="A28" s="210" t="s">
        <v>101</v>
      </c>
      <c r="B28" s="199"/>
      <c r="C28" s="232" t="s">
        <v>266</v>
      </c>
      <c r="D28" s="232" t="s">
        <v>90</v>
      </c>
      <c r="G28" s="232" t="s">
        <v>36</v>
      </c>
      <c r="I28" s="480" t="s">
        <v>34</v>
      </c>
    </row>
    <row r="29" spans="1:9" s="75" customFormat="1" ht="14.25" x14ac:dyDescent="0.2">
      <c r="A29" s="210" t="s">
        <v>146</v>
      </c>
      <c r="B29" s="199"/>
      <c r="C29" s="232" t="s">
        <v>267</v>
      </c>
      <c r="D29" s="232" t="s">
        <v>91</v>
      </c>
      <c r="G29" s="232" t="s">
        <v>341</v>
      </c>
    </row>
    <row r="30" spans="1:9" s="75" customFormat="1" ht="14.25" x14ac:dyDescent="0.2">
      <c r="A30" s="210" t="s">
        <v>164</v>
      </c>
      <c r="B30" s="199"/>
      <c r="C30" s="232" t="s">
        <v>268</v>
      </c>
      <c r="D30" s="232" t="s">
        <v>92</v>
      </c>
    </row>
    <row r="31" spans="1:9" s="75" customFormat="1" ht="14.25" x14ac:dyDescent="0.2">
      <c r="A31" s="210" t="s">
        <v>165</v>
      </c>
      <c r="B31" s="199"/>
      <c r="C31" s="232" t="s">
        <v>269</v>
      </c>
      <c r="D31" s="232" t="s">
        <v>93</v>
      </c>
    </row>
    <row r="32" spans="1:9" s="75" customFormat="1" ht="14.25" x14ac:dyDescent="0.2">
      <c r="A32" s="210" t="s">
        <v>235</v>
      </c>
      <c r="B32" s="199"/>
      <c r="C32" s="232" t="s">
        <v>270</v>
      </c>
      <c r="D32" s="232" t="s">
        <v>94</v>
      </c>
    </row>
    <row r="33" spans="1:4" s="75" customFormat="1" ht="14.25" x14ac:dyDescent="0.2">
      <c r="B33" s="199"/>
      <c r="C33" s="232" t="s">
        <v>271</v>
      </c>
      <c r="D33" s="232" t="s">
        <v>95</v>
      </c>
    </row>
    <row r="34" spans="1:4" s="75" customFormat="1" ht="14.25" x14ac:dyDescent="0.2">
      <c r="C34" s="232" t="s">
        <v>272</v>
      </c>
    </row>
    <row r="35" spans="1:4" s="75" customFormat="1" ht="14.25" x14ac:dyDescent="0.2">
      <c r="C35" s="232" t="s">
        <v>273</v>
      </c>
    </row>
    <row r="36" spans="1:4" s="75" customFormat="1" ht="14.25" x14ac:dyDescent="0.2">
      <c r="C36" s="232" t="s">
        <v>274</v>
      </c>
    </row>
    <row r="37" spans="1:4" s="75" customFormat="1" ht="14.25" x14ac:dyDescent="0.2">
      <c r="C37" s="232" t="s">
        <v>275</v>
      </c>
    </row>
    <row r="38" spans="1:4" s="75" customFormat="1" ht="14.25" x14ac:dyDescent="0.2">
      <c r="C38" s="232" t="s">
        <v>276</v>
      </c>
    </row>
    <row r="39" spans="1:4" s="75" customFormat="1" ht="14.25" x14ac:dyDescent="0.2">
      <c r="C39" s="232" t="s">
        <v>277</v>
      </c>
    </row>
    <row r="40" spans="1:4" s="75" customFormat="1" ht="14.25" x14ac:dyDescent="0.2">
      <c r="C40" s="232" t="s">
        <v>278</v>
      </c>
    </row>
    <row r="41" spans="1:4" s="75" customFormat="1" x14ac:dyDescent="0.25">
      <c r="A41" s="200" t="s">
        <v>588</v>
      </c>
      <c r="C41" s="232" t="s">
        <v>368</v>
      </c>
    </row>
    <row r="42" spans="1:4" s="75" customFormat="1" ht="14.25" x14ac:dyDescent="0.2">
      <c r="A42" s="194" t="s">
        <v>585</v>
      </c>
      <c r="C42" s="232" t="s">
        <v>279</v>
      </c>
    </row>
    <row r="43" spans="1:4" s="75" customFormat="1" ht="14.25" x14ac:dyDescent="0.2">
      <c r="A43" s="194" t="s">
        <v>587</v>
      </c>
      <c r="C43" s="232" t="s">
        <v>369</v>
      </c>
    </row>
    <row r="44" spans="1:4" s="75" customFormat="1" ht="14.25" x14ac:dyDescent="0.2">
      <c r="A44" s="194" t="s">
        <v>586</v>
      </c>
      <c r="C44" s="232" t="s">
        <v>280</v>
      </c>
    </row>
    <row r="45" spans="1:4" s="75" customFormat="1" ht="14.25" x14ac:dyDescent="0.2">
      <c r="C45" s="232" t="s">
        <v>281</v>
      </c>
    </row>
    <row r="46" spans="1:4" s="75" customFormat="1" ht="14.25" x14ac:dyDescent="0.2">
      <c r="C46" s="232" t="s">
        <v>282</v>
      </c>
    </row>
    <row r="47" spans="1:4" s="75" customFormat="1" x14ac:dyDescent="0.25">
      <c r="A47" s="460" t="s">
        <v>598</v>
      </c>
      <c r="C47" s="232" t="s">
        <v>283</v>
      </c>
    </row>
    <row r="48" spans="1:4" s="75" customFormat="1" ht="14.25" x14ac:dyDescent="0.2">
      <c r="A48" s="461" t="s">
        <v>594</v>
      </c>
      <c r="C48" s="232" t="s">
        <v>285</v>
      </c>
    </row>
    <row r="49" spans="1:3" s="75" customFormat="1" ht="14.25" x14ac:dyDescent="0.2">
      <c r="A49" s="462" t="s">
        <v>595</v>
      </c>
      <c r="C49" s="232" t="s">
        <v>370</v>
      </c>
    </row>
    <row r="50" spans="1:3" s="75" customFormat="1" ht="28.5" x14ac:dyDescent="0.2">
      <c r="A50" s="462" t="s">
        <v>596</v>
      </c>
      <c r="C50" s="232" t="s">
        <v>286</v>
      </c>
    </row>
    <row r="51" spans="1:3" s="75" customFormat="1" ht="28.5" x14ac:dyDescent="0.2">
      <c r="A51" s="462" t="s">
        <v>597</v>
      </c>
      <c r="C51" s="232" t="s">
        <v>287</v>
      </c>
    </row>
    <row r="52" spans="1:3" s="75" customFormat="1" ht="14.25" x14ac:dyDescent="0.2">
      <c r="C52" s="232" t="s">
        <v>371</v>
      </c>
    </row>
    <row r="53" spans="1:3" s="75" customFormat="1" ht="14.25" x14ac:dyDescent="0.2">
      <c r="C53" s="232" t="s">
        <v>289</v>
      </c>
    </row>
    <row r="54" spans="1:3" s="75" customFormat="1" ht="14.25" x14ac:dyDescent="0.2">
      <c r="C54" s="232" t="s">
        <v>290</v>
      </c>
    </row>
    <row r="55" spans="1:3" s="75" customFormat="1" ht="14.25" x14ac:dyDescent="0.2">
      <c r="C55" s="232" t="s">
        <v>291</v>
      </c>
    </row>
    <row r="56" spans="1:3" s="75" customFormat="1" ht="14.25" x14ac:dyDescent="0.2">
      <c r="C56" s="232" t="s">
        <v>288</v>
      </c>
    </row>
    <row r="57" spans="1:3" s="75" customFormat="1" ht="14.25" x14ac:dyDescent="0.2">
      <c r="C57" s="232" t="s">
        <v>372</v>
      </c>
    </row>
    <row r="58" spans="1:3" s="75" customFormat="1" ht="14.25" x14ac:dyDescent="0.2">
      <c r="C58" s="232" t="s">
        <v>373</v>
      </c>
    </row>
    <row r="59" spans="1:3" s="75" customFormat="1" ht="14.25" x14ac:dyDescent="0.2">
      <c r="C59" s="232" t="s">
        <v>117</v>
      </c>
    </row>
    <row r="60" spans="1:3" s="75" customFormat="1" ht="28.5" x14ac:dyDescent="0.2">
      <c r="C60" s="232" t="s">
        <v>116</v>
      </c>
    </row>
    <row r="61" spans="1:3" s="75" customFormat="1" ht="14.25" x14ac:dyDescent="0.2">
      <c r="C61" s="232" t="s">
        <v>292</v>
      </c>
    </row>
    <row r="62" spans="1:3" s="75" customFormat="1" ht="14.25" x14ac:dyDescent="0.2">
      <c r="C62" s="232" t="s">
        <v>297</v>
      </c>
    </row>
    <row r="63" spans="1:3" s="75" customFormat="1" ht="14.25" x14ac:dyDescent="0.2">
      <c r="C63" s="232" t="s">
        <v>374</v>
      </c>
    </row>
    <row r="64" spans="1:3" s="75" customFormat="1" ht="14.25" x14ac:dyDescent="0.2">
      <c r="C64" s="232" t="s">
        <v>293</v>
      </c>
    </row>
    <row r="65" spans="3:3" s="75" customFormat="1" ht="14.25" x14ac:dyDescent="0.2">
      <c r="C65" s="232" t="s">
        <v>294</v>
      </c>
    </row>
    <row r="66" spans="3:3" s="75" customFormat="1" ht="14.25" x14ac:dyDescent="0.2">
      <c r="C66" s="232" t="s">
        <v>295</v>
      </c>
    </row>
    <row r="67" spans="3:3" s="75" customFormat="1" ht="14.25" x14ac:dyDescent="0.2">
      <c r="C67" s="232" t="s">
        <v>296</v>
      </c>
    </row>
    <row r="68" spans="3:3" s="75" customFormat="1" ht="14.25" x14ac:dyDescent="0.2">
      <c r="C68" s="232" t="s">
        <v>375</v>
      </c>
    </row>
    <row r="69" spans="3:3" s="75" customFormat="1" ht="14.25" x14ac:dyDescent="0.2">
      <c r="C69" s="232" t="s">
        <v>298</v>
      </c>
    </row>
    <row r="70" spans="3:3" s="75" customFormat="1" ht="14.25" x14ac:dyDescent="0.2">
      <c r="C70" s="232" t="s">
        <v>299</v>
      </c>
    </row>
    <row r="71" spans="3:3" s="75" customFormat="1" ht="14.25" x14ac:dyDescent="0.2">
      <c r="C71" s="232" t="s">
        <v>376</v>
      </c>
    </row>
    <row r="72" spans="3:3" s="75" customFormat="1" ht="14.25" x14ac:dyDescent="0.2">
      <c r="C72" s="232" t="s">
        <v>300</v>
      </c>
    </row>
    <row r="73" spans="3:3" s="75" customFormat="1" ht="14.25" x14ac:dyDescent="0.2">
      <c r="C73" s="232" t="s">
        <v>301</v>
      </c>
    </row>
    <row r="74" spans="3:3" s="75" customFormat="1" ht="14.25" x14ac:dyDescent="0.2">
      <c r="C74" s="232" t="s">
        <v>302</v>
      </c>
    </row>
    <row r="75" spans="3:3" s="75" customFormat="1" ht="14.25" x14ac:dyDescent="0.2">
      <c r="C75" s="232" t="s">
        <v>82</v>
      </c>
    </row>
    <row r="76" spans="3:3" s="75" customFormat="1" ht="14.25" x14ac:dyDescent="0.2">
      <c r="C76" s="232" t="s">
        <v>303</v>
      </c>
    </row>
    <row r="77" spans="3:3" s="75" customFormat="1" ht="14.25" x14ac:dyDescent="0.2">
      <c r="C77" s="232" t="s">
        <v>377</v>
      </c>
    </row>
    <row r="78" spans="3:3" s="75" customFormat="1" ht="14.25" x14ac:dyDescent="0.2">
      <c r="C78" s="232" t="s">
        <v>83</v>
      </c>
    </row>
    <row r="79" spans="3:3" s="75" customFormat="1" ht="14.25" x14ac:dyDescent="0.2">
      <c r="C79" s="232" t="s">
        <v>304</v>
      </c>
    </row>
    <row r="80" spans="3:3" s="75" customFormat="1" ht="14.25" x14ac:dyDescent="0.2">
      <c r="C80" s="232" t="s">
        <v>305</v>
      </c>
    </row>
    <row r="81" spans="3:3" s="75" customFormat="1" ht="14.25" x14ac:dyDescent="0.2">
      <c r="C81" s="232" t="s">
        <v>306</v>
      </c>
    </row>
    <row r="82" spans="3:3" s="75" customFormat="1" ht="14.25" x14ac:dyDescent="0.2">
      <c r="C82" s="232" t="s">
        <v>378</v>
      </c>
    </row>
    <row r="83" spans="3:3" s="75" customFormat="1" ht="14.25" x14ac:dyDescent="0.2">
      <c r="C83" s="232" t="s">
        <v>307</v>
      </c>
    </row>
    <row r="84" spans="3:3" s="75" customFormat="1" ht="14.25" x14ac:dyDescent="0.2">
      <c r="C84" s="232" t="s">
        <v>308</v>
      </c>
    </row>
    <row r="85" spans="3:3" s="75" customFormat="1" ht="14.25" x14ac:dyDescent="0.2">
      <c r="C85" s="232" t="s">
        <v>379</v>
      </c>
    </row>
    <row r="86" spans="3:3" s="75" customFormat="1" ht="28.5" x14ac:dyDescent="0.2">
      <c r="C86" s="232" t="s">
        <v>309</v>
      </c>
    </row>
    <row r="87" spans="3:3" s="75" customFormat="1" ht="14.25" x14ac:dyDescent="0.2">
      <c r="C87" s="232" t="s">
        <v>310</v>
      </c>
    </row>
    <row r="88" spans="3:3" s="75" customFormat="1" ht="14.25" x14ac:dyDescent="0.2">
      <c r="C88" s="232" t="s">
        <v>311</v>
      </c>
    </row>
    <row r="89" spans="3:3" s="75" customFormat="1" ht="14.25" x14ac:dyDescent="0.2">
      <c r="C89" s="232" t="s">
        <v>312</v>
      </c>
    </row>
    <row r="90" spans="3:3" s="75" customFormat="1" ht="14.25" x14ac:dyDescent="0.2">
      <c r="C90" s="232" t="s">
        <v>380</v>
      </c>
    </row>
    <row r="91" spans="3:3" s="75" customFormat="1" ht="14.25" x14ac:dyDescent="0.2">
      <c r="C91" s="232" t="s">
        <v>313</v>
      </c>
    </row>
    <row r="92" spans="3:3" s="75" customFormat="1" ht="14.25" x14ac:dyDescent="0.2">
      <c r="C92" s="232" t="s">
        <v>314</v>
      </c>
    </row>
    <row r="93" spans="3:3" s="75" customFormat="1" ht="14.25" x14ac:dyDescent="0.2">
      <c r="C93" s="232" t="s">
        <v>315</v>
      </c>
    </row>
    <row r="94" spans="3:3" s="75" customFormat="1" ht="14.25" x14ac:dyDescent="0.2">
      <c r="C94" s="232" t="s">
        <v>316</v>
      </c>
    </row>
    <row r="95" spans="3:3" s="75" customFormat="1" ht="14.25" x14ac:dyDescent="0.2">
      <c r="C95" s="232" t="s">
        <v>317</v>
      </c>
    </row>
    <row r="96" spans="3:3" s="75" customFormat="1" ht="14.25" x14ac:dyDescent="0.2">
      <c r="C96" s="232" t="s">
        <v>381</v>
      </c>
    </row>
    <row r="97" spans="3:3" s="75" customFormat="1" ht="14.25" x14ac:dyDescent="0.2">
      <c r="C97" s="232" t="s">
        <v>382</v>
      </c>
    </row>
    <row r="98" spans="3:3" s="75" customFormat="1" ht="14.25" x14ac:dyDescent="0.2">
      <c r="C98" s="232" t="s">
        <v>318</v>
      </c>
    </row>
    <row r="99" spans="3:3" s="75" customFormat="1" ht="14.25" x14ac:dyDescent="0.2">
      <c r="C99" s="232" t="s">
        <v>319</v>
      </c>
    </row>
    <row r="100" spans="3:3" s="75" customFormat="1" ht="14.25" x14ac:dyDescent="0.2">
      <c r="C100" s="232" t="s">
        <v>320</v>
      </c>
    </row>
    <row r="101" spans="3:3" s="75" customFormat="1" ht="14.25" x14ac:dyDescent="0.2">
      <c r="C101" s="232" t="s">
        <v>321</v>
      </c>
    </row>
    <row r="102" spans="3:3" s="75" customFormat="1" ht="14.25" x14ac:dyDescent="0.2">
      <c r="C102" s="232" t="s">
        <v>322</v>
      </c>
    </row>
    <row r="103" spans="3:3" s="75" customFormat="1" ht="14.25" x14ac:dyDescent="0.2">
      <c r="C103" s="232" t="s">
        <v>323</v>
      </c>
    </row>
    <row r="104" spans="3:3" s="75" customFormat="1" ht="14.25" x14ac:dyDescent="0.2">
      <c r="C104" s="232" t="s">
        <v>324</v>
      </c>
    </row>
    <row r="105" spans="3:3" s="75" customFormat="1" ht="14.25" x14ac:dyDescent="0.2">
      <c r="C105" s="232" t="s">
        <v>325</v>
      </c>
    </row>
    <row r="106" spans="3:3" s="75" customFormat="1" ht="14.25" x14ac:dyDescent="0.2">
      <c r="C106" s="232" t="s">
        <v>326</v>
      </c>
    </row>
    <row r="107" spans="3:3" s="75" customFormat="1" ht="14.25" x14ac:dyDescent="0.2">
      <c r="C107" s="232" t="s">
        <v>327</v>
      </c>
    </row>
    <row r="108" spans="3:3" s="75" customFormat="1" ht="14.25" x14ac:dyDescent="0.2">
      <c r="C108" s="232" t="s">
        <v>328</v>
      </c>
    </row>
    <row r="109" spans="3:3" s="75" customFormat="1" ht="14.25" x14ac:dyDescent="0.2">
      <c r="C109" s="232" t="s">
        <v>329</v>
      </c>
    </row>
    <row r="110" spans="3:3" s="75" customFormat="1" ht="14.25" x14ac:dyDescent="0.2">
      <c r="C110" s="232" t="s">
        <v>330</v>
      </c>
    </row>
    <row r="111" spans="3:3" s="75" customFormat="1" ht="14.25" x14ac:dyDescent="0.2">
      <c r="C111" s="232" t="s">
        <v>383</v>
      </c>
    </row>
    <row r="112" spans="3:3" s="75" customFormat="1" ht="14.25" x14ac:dyDescent="0.2">
      <c r="C112" s="232" t="s">
        <v>331</v>
      </c>
    </row>
    <row r="113" spans="3:9" s="75" customFormat="1" ht="14.25" x14ac:dyDescent="0.2">
      <c r="C113" s="232" t="s">
        <v>332</v>
      </c>
    </row>
    <row r="114" spans="3:9" s="75" customFormat="1" ht="14.25" x14ac:dyDescent="0.2">
      <c r="C114" s="232" t="s">
        <v>333</v>
      </c>
    </row>
    <row r="115" spans="3:9" s="75" customFormat="1" ht="14.25" x14ac:dyDescent="0.2">
      <c r="C115" s="232" t="s">
        <v>334</v>
      </c>
    </row>
    <row r="116" spans="3:9" s="75" customFormat="1" ht="14.25" x14ac:dyDescent="0.2">
      <c r="C116" s="232" t="s">
        <v>384</v>
      </c>
    </row>
    <row r="117" spans="3:9" s="75" customFormat="1" ht="14.25" x14ac:dyDescent="0.2">
      <c r="C117" s="232" t="s">
        <v>385</v>
      </c>
    </row>
    <row r="118" spans="3:9" s="75" customFormat="1" ht="28.5" x14ac:dyDescent="0.2">
      <c r="C118" s="232" t="s">
        <v>107</v>
      </c>
    </row>
    <row r="119" spans="3:9" s="75" customFormat="1" ht="14.25" x14ac:dyDescent="0.2">
      <c r="C119" s="232" t="s">
        <v>335</v>
      </c>
    </row>
    <row r="120" spans="3:9" s="75" customFormat="1" ht="14.25" x14ac:dyDescent="0.2">
      <c r="C120" s="232" t="s">
        <v>336</v>
      </c>
    </row>
    <row r="121" spans="3:9" s="75" customFormat="1" ht="14.25" x14ac:dyDescent="0.2">
      <c r="C121" s="232" t="s">
        <v>337</v>
      </c>
    </row>
    <row r="122" spans="3:9" s="75" customFormat="1" ht="14.25" x14ac:dyDescent="0.2">
      <c r="C122" s="232" t="s">
        <v>338</v>
      </c>
    </row>
    <row r="123" spans="3:9" s="75" customFormat="1" ht="14.25" x14ac:dyDescent="0.2">
      <c r="C123" s="232" t="s">
        <v>339</v>
      </c>
    </row>
    <row r="124" spans="3:9" s="75" customFormat="1" ht="14.25" x14ac:dyDescent="0.2">
      <c r="C124" s="232" t="s">
        <v>120</v>
      </c>
    </row>
    <row r="125" spans="3:9" s="75" customFormat="1" ht="28.5" x14ac:dyDescent="0.25">
      <c r="C125" s="232" t="s">
        <v>386</v>
      </c>
      <c r="I125"/>
    </row>
    <row r="126" spans="3:9" s="75" customFormat="1" x14ac:dyDescent="0.25">
      <c r="C126" s="480" t="s">
        <v>340</v>
      </c>
      <c r="I126"/>
    </row>
    <row r="127" spans="3:9" s="75" customFormat="1" x14ac:dyDescent="0.25">
      <c r="I127"/>
    </row>
    <row r="128" spans="3:9" s="75" customFormat="1" x14ac:dyDescent="0.25">
      <c r="I128"/>
    </row>
    <row r="129" spans="1:4" x14ac:dyDescent="0.25">
      <c r="A129" s="31" t="s">
        <v>175</v>
      </c>
    </row>
    <row r="130" spans="1:4" x14ac:dyDescent="0.25">
      <c r="A130" s="33" t="s">
        <v>167</v>
      </c>
    </row>
    <row r="131" spans="1:4" x14ac:dyDescent="0.25">
      <c r="A131" s="33" t="s">
        <v>168</v>
      </c>
    </row>
    <row r="132" spans="1:4" x14ac:dyDescent="0.25">
      <c r="A132" s="33" t="s">
        <v>169</v>
      </c>
    </row>
    <row r="133" spans="1:4" x14ac:dyDescent="0.25">
      <c r="A133" s="33" t="s">
        <v>170</v>
      </c>
    </row>
    <row r="134" spans="1:4" x14ac:dyDescent="0.25">
      <c r="A134" s="33" t="s">
        <v>171</v>
      </c>
    </row>
    <row r="135" spans="1:4" x14ac:dyDescent="0.25">
      <c r="A135" s="33" t="s">
        <v>172</v>
      </c>
    </row>
    <row r="136" spans="1:4" x14ac:dyDescent="0.25">
      <c r="C136" s="27"/>
      <c r="D136" s="27"/>
    </row>
    <row r="137" spans="1:4" x14ac:dyDescent="0.25">
      <c r="A137" s="224" t="s">
        <v>152</v>
      </c>
      <c r="C137" s="27"/>
      <c r="D137" s="27"/>
    </row>
    <row r="138" spans="1:4" x14ac:dyDescent="0.25">
      <c r="A138" s="225" t="s">
        <v>147</v>
      </c>
      <c r="C138" s="27"/>
      <c r="D138" s="27"/>
    </row>
    <row r="139" spans="1:4" x14ac:dyDescent="0.25">
      <c r="A139" s="225" t="s">
        <v>148</v>
      </c>
      <c r="C139" s="27"/>
      <c r="D139" s="27"/>
    </row>
    <row r="140" spans="1:4" x14ac:dyDescent="0.25">
      <c r="A140" s="225" t="s">
        <v>149</v>
      </c>
      <c r="C140" s="27"/>
      <c r="D140" s="27"/>
    </row>
    <row r="141" spans="1:4" x14ac:dyDescent="0.25">
      <c r="A141" s="225" t="s">
        <v>150</v>
      </c>
      <c r="C141" s="27"/>
      <c r="D141" s="27"/>
    </row>
    <row r="142" spans="1:4" x14ac:dyDescent="0.25">
      <c r="A142" s="225" t="s">
        <v>151</v>
      </c>
      <c r="C142" s="27"/>
      <c r="D142" s="27"/>
    </row>
    <row r="143" spans="1:4" x14ac:dyDescent="0.25">
      <c r="A143" s="2"/>
      <c r="C143" s="27"/>
      <c r="D143" s="27"/>
    </row>
    <row r="144" spans="1:4" x14ac:dyDescent="0.25">
      <c r="A144" s="31" t="s">
        <v>153</v>
      </c>
      <c r="C144" s="27"/>
    </row>
    <row r="145" spans="1:9" ht="16.5" customHeight="1" x14ac:dyDescent="0.25">
      <c r="A145" s="32" t="s">
        <v>154</v>
      </c>
      <c r="C145" s="27"/>
      <c r="D145" s="27"/>
    </row>
    <row r="146" spans="1:9" x14ac:dyDescent="0.25">
      <c r="A146" s="32" t="s">
        <v>155</v>
      </c>
      <c r="D146" s="27"/>
    </row>
    <row r="147" spans="1:9" x14ac:dyDescent="0.25">
      <c r="A147" s="32" t="s">
        <v>156</v>
      </c>
      <c r="D147" s="27"/>
    </row>
    <row r="148" spans="1:9" x14ac:dyDescent="0.25">
      <c r="I148" s="27"/>
    </row>
    <row r="149" spans="1:9" x14ac:dyDescent="0.25">
      <c r="A149" s="61" t="s">
        <v>227</v>
      </c>
      <c r="B149" s="61" t="s">
        <v>599</v>
      </c>
      <c r="C149" s="463" t="s">
        <v>600</v>
      </c>
      <c r="D149" s="27"/>
      <c r="I149" s="27"/>
    </row>
    <row r="150" spans="1:9" x14ac:dyDescent="0.25">
      <c r="A150" s="34" t="s">
        <v>599</v>
      </c>
      <c r="B150" s="32" t="s">
        <v>147</v>
      </c>
      <c r="C150" s="32" t="s">
        <v>346</v>
      </c>
      <c r="I150" s="27"/>
    </row>
    <row r="151" spans="1:9" x14ac:dyDescent="0.25">
      <c r="A151" s="34" t="s">
        <v>600</v>
      </c>
      <c r="B151" s="32" t="s">
        <v>148</v>
      </c>
      <c r="C151" s="32" t="s">
        <v>149</v>
      </c>
      <c r="I151" s="27"/>
    </row>
    <row r="152" spans="1:9" s="27" customFormat="1" x14ac:dyDescent="0.25">
      <c r="A152" s="58"/>
      <c r="B152" s="32" t="s">
        <v>149</v>
      </c>
      <c r="C152" s="59" t="s">
        <v>150</v>
      </c>
    </row>
    <row r="153" spans="1:9" s="27" customFormat="1" x14ac:dyDescent="0.25">
      <c r="B153" s="59" t="s">
        <v>150</v>
      </c>
      <c r="C153" s="60"/>
      <c r="I153"/>
    </row>
    <row r="154" spans="1:9" s="27" customFormat="1" x14ac:dyDescent="0.25">
      <c r="I154"/>
    </row>
    <row r="155" spans="1:9" s="27" customFormat="1" x14ac:dyDescent="0.25">
      <c r="I155"/>
    </row>
    <row r="156" spans="1:9" s="27" customFormat="1" x14ac:dyDescent="0.25">
      <c r="A156"/>
      <c r="I156"/>
    </row>
    <row r="157" spans="1:9" x14ac:dyDescent="0.25">
      <c r="A157" s="34">
        <v>1</v>
      </c>
    </row>
    <row r="158" spans="1:9" x14ac:dyDescent="0.25">
      <c r="A158" s="34">
        <v>2</v>
      </c>
    </row>
    <row r="159" spans="1:9" x14ac:dyDescent="0.25">
      <c r="A159" s="34">
        <v>3</v>
      </c>
    </row>
    <row r="160" spans="1:9" x14ac:dyDescent="0.25">
      <c r="A160" s="34">
        <v>4</v>
      </c>
    </row>
    <row r="161" spans="1:1" x14ac:dyDescent="0.25">
      <c r="A161" s="34">
        <v>5</v>
      </c>
    </row>
    <row r="162" spans="1:1" x14ac:dyDescent="0.25">
      <c r="A162" s="512">
        <v>6</v>
      </c>
    </row>
    <row r="163" spans="1:1" x14ac:dyDescent="0.25">
      <c r="A163" s="512">
        <v>7</v>
      </c>
    </row>
    <row r="164" spans="1:1" x14ac:dyDescent="0.25">
      <c r="A164" s="512">
        <v>8</v>
      </c>
    </row>
    <row r="165" spans="1:1" x14ac:dyDescent="0.25">
      <c r="A165" s="512">
        <v>9</v>
      </c>
    </row>
    <row r="166" spans="1:1" x14ac:dyDescent="0.25">
      <c r="A166" s="512">
        <v>10</v>
      </c>
    </row>
    <row r="167" spans="1:1" x14ac:dyDescent="0.25">
      <c r="A167" s="512">
        <v>11</v>
      </c>
    </row>
    <row r="168" spans="1:1" x14ac:dyDescent="0.25">
      <c r="A168" s="512">
        <v>12</v>
      </c>
    </row>
    <row r="169" spans="1:1" x14ac:dyDescent="0.25">
      <c r="A169" s="512">
        <v>13</v>
      </c>
    </row>
    <row r="170" spans="1:1" x14ac:dyDescent="0.25">
      <c r="A170" s="512">
        <v>14</v>
      </c>
    </row>
    <row r="171" spans="1:1" x14ac:dyDescent="0.25">
      <c r="A171" s="512">
        <v>15</v>
      </c>
    </row>
    <row r="172" spans="1:1" x14ac:dyDescent="0.25">
      <c r="A172" s="58"/>
    </row>
    <row r="174" spans="1:1" x14ac:dyDescent="0.25">
      <c r="A174" s="152" t="s">
        <v>238</v>
      </c>
    </row>
    <row r="175" spans="1:1" x14ac:dyDescent="0.25">
      <c r="A175" s="153" t="s">
        <v>239</v>
      </c>
    </row>
    <row r="176" spans="1:1" x14ac:dyDescent="0.25">
      <c r="A176" s="153" t="s">
        <v>240</v>
      </c>
    </row>
    <row r="177" spans="1:2" x14ac:dyDescent="0.25">
      <c r="A177" s="153" t="s">
        <v>241</v>
      </c>
    </row>
    <row r="178" spans="1:2" x14ac:dyDescent="0.25">
      <c r="A178" s="153" t="s">
        <v>242</v>
      </c>
    </row>
    <row r="179" spans="1:2" s="27" customFormat="1" x14ac:dyDescent="0.25">
      <c r="A179" s="153" t="s">
        <v>243</v>
      </c>
    </row>
    <row r="180" spans="1:2" x14ac:dyDescent="0.25">
      <c r="A180" s="153" t="s">
        <v>244</v>
      </c>
      <c r="B180" s="58"/>
    </row>
    <row r="181" spans="1:2" x14ac:dyDescent="0.25">
      <c r="A181" s="153" t="s">
        <v>245</v>
      </c>
    </row>
    <row r="182" spans="1:2" x14ac:dyDescent="0.25">
      <c r="A182" s="153" t="s">
        <v>246</v>
      </c>
    </row>
    <row r="183" spans="1:2" x14ac:dyDescent="0.25">
      <c r="A183" s="153" t="s">
        <v>511</v>
      </c>
    </row>
    <row r="184" spans="1:2" x14ac:dyDescent="0.25">
      <c r="A184" s="218" t="s">
        <v>510</v>
      </c>
    </row>
    <row r="185" spans="1:2" x14ac:dyDescent="0.25">
      <c r="A185" s="153" t="s">
        <v>247</v>
      </c>
    </row>
    <row r="186" spans="1:2" x14ac:dyDescent="0.25">
      <c r="A186" s="153" t="s">
        <v>248</v>
      </c>
    </row>
    <row r="187" spans="1:2" x14ac:dyDescent="0.25">
      <c r="A187" s="153" t="s">
        <v>249</v>
      </c>
    </row>
    <row r="188" spans="1:2" x14ac:dyDescent="0.25">
      <c r="A188" s="218" t="s">
        <v>512</v>
      </c>
    </row>
    <row r="189" spans="1:2" x14ac:dyDescent="0.25">
      <c r="A189" s="153" t="s">
        <v>250</v>
      </c>
    </row>
    <row r="190" spans="1:2" x14ac:dyDescent="0.25">
      <c r="A190" s="153" t="s">
        <v>251</v>
      </c>
    </row>
    <row r="191" spans="1:2" x14ac:dyDescent="0.25">
      <c r="A191" s="217" t="s">
        <v>252</v>
      </c>
    </row>
    <row r="192" spans="1:2" x14ac:dyDescent="0.25">
      <c r="A192" s="217" t="s">
        <v>253</v>
      </c>
    </row>
    <row r="193" spans="1:1" x14ac:dyDescent="0.25">
      <c r="A193" s="215"/>
    </row>
    <row r="194" spans="1:1" x14ac:dyDescent="0.25">
      <c r="A194" s="216" t="s">
        <v>342</v>
      </c>
    </row>
    <row r="195" spans="1:1" x14ac:dyDescent="0.25">
      <c r="A195" s="217" t="s">
        <v>343</v>
      </c>
    </row>
    <row r="196" spans="1:1" x14ac:dyDescent="0.25">
      <c r="A196" s="160" t="s">
        <v>344</v>
      </c>
    </row>
    <row r="198" spans="1:1" x14ac:dyDescent="0.25">
      <c r="A198" s="529" t="s">
        <v>653</v>
      </c>
    </row>
    <row r="199" spans="1:1" x14ac:dyDescent="0.25">
      <c r="A199" s="217" t="s">
        <v>654</v>
      </c>
    </row>
    <row r="200" spans="1:1" x14ac:dyDescent="0.25">
      <c r="A200" s="217" t="s">
        <v>655</v>
      </c>
    </row>
  </sheetData>
  <sheetProtection algorithmName="SHA-512" hashValue="qnmHQJqlB6SEbD3T+BdMtIHCen1W3NmjgIFZunbPRxwwC/Lr2VvpWrSq72NAF0IPLf6Sj0GDnaCGhQMq6Fz4Xw==" saltValue="iXmNIEcrggchDv0OS9Vl8A==" spinCount="100000" sheet="1" objects="1" scenarios="1"/>
  <sortState ref="D5:D10">
    <sortCondition ref="D5:D10"/>
  </sortState>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FF0000"/>
  </sheetPr>
  <dimension ref="B1:F10"/>
  <sheetViews>
    <sheetView showGridLines="0" workbookViewId="0">
      <selection activeCell="F9" sqref="F9"/>
    </sheetView>
  </sheetViews>
  <sheetFormatPr defaultRowHeight="15" x14ac:dyDescent="0.25"/>
  <cols>
    <col min="2" max="2" width="47.5703125" customWidth="1"/>
    <col min="3" max="3" width="17.28515625" customWidth="1"/>
  </cols>
  <sheetData>
    <row r="1" spans="2:6" ht="15.75" x14ac:dyDescent="0.25">
      <c r="B1" s="235"/>
    </row>
    <row r="2" spans="2:6" s="27" customFormat="1" ht="15.75" x14ac:dyDescent="0.25">
      <c r="B2" s="235"/>
    </row>
    <row r="3" spans="2:6" s="27" customFormat="1" ht="15.75" x14ac:dyDescent="0.25">
      <c r="B3" s="235"/>
    </row>
    <row r="5" spans="2:6" x14ac:dyDescent="0.25">
      <c r="B5" s="260" t="s">
        <v>186</v>
      </c>
      <c r="C5" s="261" t="s">
        <v>187</v>
      </c>
    </row>
    <row r="6" spans="2:6" x14ac:dyDescent="0.25">
      <c r="B6" s="222" t="s">
        <v>669</v>
      </c>
      <c r="C6" s="223">
        <v>0.35</v>
      </c>
      <c r="F6" s="536"/>
    </row>
    <row r="7" spans="2:6" x14ac:dyDescent="0.25">
      <c r="B7" s="222" t="s">
        <v>670</v>
      </c>
      <c r="C7" s="223">
        <v>1.47</v>
      </c>
      <c r="F7" s="536"/>
    </row>
    <row r="8" spans="2:6" x14ac:dyDescent="0.25">
      <c r="B8" s="222" t="s">
        <v>671</v>
      </c>
      <c r="C8" s="537">
        <v>0.6</v>
      </c>
      <c r="F8" s="536"/>
    </row>
    <row r="10" spans="2:6" x14ac:dyDescent="0.25">
      <c r="B10" s="340" t="s">
        <v>577</v>
      </c>
    </row>
  </sheetData>
  <sheetProtection algorithmName="SHA-512" hashValue="28rtalj4dc/nyOp47FSZuGr7iJm/kQCzQY/GorrIUmu2Rgc9pAYEG9qMnwsGmdoZHp5p33LoV1Kfvta8EZzjSw==" saltValue="7QScxcZZKVrKbexRDFiaqg==" spinCount="100000" sheet="1" objects="1" scenarios="1"/>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J245"/>
  <sheetViews>
    <sheetView showGridLines="0" zoomScaleNormal="100" workbookViewId="0"/>
  </sheetViews>
  <sheetFormatPr defaultColWidth="9.140625" defaultRowHeight="15" x14ac:dyDescent="0.25"/>
  <cols>
    <col min="1" max="1" width="37.5703125" style="27" customWidth="1"/>
    <col min="2" max="7" width="20" style="27" customWidth="1"/>
    <col min="8" max="8" width="12.28515625" style="27" customWidth="1"/>
    <col min="9" max="10" width="10.7109375" style="27" customWidth="1"/>
    <col min="11" max="16384" width="9.140625" style="27"/>
  </cols>
  <sheetData>
    <row r="1" spans="1:10" ht="23.25" x14ac:dyDescent="0.35">
      <c r="A1" s="291" t="s">
        <v>525</v>
      </c>
      <c r="B1" s="291"/>
      <c r="C1" s="75"/>
      <c r="D1" s="75"/>
      <c r="E1" s="75"/>
      <c r="F1" s="75"/>
      <c r="G1" s="75"/>
      <c r="H1" s="75"/>
      <c r="J1" s="289"/>
    </row>
    <row r="2" spans="1:10" ht="23.25" x14ac:dyDescent="0.35">
      <c r="A2" s="291" t="s">
        <v>526</v>
      </c>
      <c r="B2" s="291"/>
      <c r="C2" s="75"/>
      <c r="D2" s="75"/>
      <c r="E2" s="75"/>
      <c r="F2" s="75"/>
      <c r="G2" s="75"/>
      <c r="H2" s="75"/>
      <c r="J2" s="289"/>
    </row>
    <row r="3" spans="1:10" x14ac:dyDescent="0.25">
      <c r="A3" s="75"/>
      <c r="B3" s="75"/>
      <c r="C3" s="75"/>
      <c r="D3" s="75"/>
      <c r="E3" s="75"/>
      <c r="F3" s="75"/>
      <c r="G3" s="75"/>
      <c r="H3" s="75"/>
      <c r="J3" s="289"/>
    </row>
    <row r="4" spans="1:10" s="344" customFormat="1" ht="14.25" x14ac:dyDescent="0.2">
      <c r="A4" s="342" t="s">
        <v>573</v>
      </c>
      <c r="B4" s="362">
        <f>IRAS_REF</f>
        <v>281958</v>
      </c>
      <c r="C4" s="361"/>
      <c r="D4" s="343"/>
      <c r="E4" s="343"/>
      <c r="F4" s="75"/>
      <c r="G4" s="75"/>
      <c r="H4" s="75"/>
    </row>
    <row r="5" spans="1:10" s="344" customFormat="1" ht="14.25" x14ac:dyDescent="0.2">
      <c r="A5" s="342" t="s">
        <v>572</v>
      </c>
      <c r="B5" s="620" t="str">
        <f>SHORT_TITLE</f>
        <v>PRINCIPLE</v>
      </c>
      <c r="C5" s="621"/>
      <c r="D5" s="621"/>
      <c r="E5" s="622"/>
      <c r="F5" s="75"/>
      <c r="G5" s="75"/>
      <c r="H5" s="75"/>
    </row>
    <row r="6" spans="1:10" s="344" customFormat="1" ht="14.25" x14ac:dyDescent="0.2">
      <c r="A6" s="293"/>
      <c r="B6" s="293"/>
      <c r="C6" s="293"/>
      <c r="D6" s="293"/>
      <c r="E6" s="293"/>
      <c r="F6" s="75"/>
      <c r="G6" s="75"/>
      <c r="H6" s="75"/>
    </row>
    <row r="7" spans="1:10" s="344" customFormat="1" ht="12.75" x14ac:dyDescent="0.2">
      <c r="A7" s="294" t="s">
        <v>582</v>
      </c>
      <c r="B7" s="293"/>
      <c r="C7" s="293"/>
      <c r="D7" s="293"/>
      <c r="E7" s="293"/>
      <c r="F7" s="293"/>
      <c r="G7" s="293"/>
      <c r="H7" s="293"/>
    </row>
    <row r="8" spans="1:10" s="344" customFormat="1" ht="12.75" x14ac:dyDescent="0.2">
      <c r="A8" s="293"/>
      <c r="B8" s="293"/>
      <c r="C8" s="293"/>
      <c r="D8" s="293"/>
      <c r="E8" s="293"/>
      <c r="F8" s="293"/>
      <c r="G8" s="293"/>
      <c r="H8" s="293"/>
    </row>
    <row r="9" spans="1:10" s="344" customFormat="1" ht="12.75" x14ac:dyDescent="0.2">
      <c r="A9" s="342" t="s">
        <v>574</v>
      </c>
      <c r="B9" s="623">
        <f>NHS_Excess_Treatment_Cost___Cost_saving</f>
        <v>-33075</v>
      </c>
      <c r="C9" s="624"/>
      <c r="D9" s="293"/>
      <c r="E9" s="293"/>
      <c r="F9" s="293"/>
      <c r="G9" s="293"/>
      <c r="H9" s="293"/>
    </row>
    <row r="10" spans="1:10" s="344" customFormat="1" ht="12.75" x14ac:dyDescent="0.2">
      <c r="A10" s="342" t="s">
        <v>535</v>
      </c>
      <c r="B10" s="625">
        <f>Sum_total_all_participants</f>
        <v>4500</v>
      </c>
      <c r="C10" s="626"/>
      <c r="D10" s="293"/>
      <c r="E10" s="293"/>
      <c r="F10" s="293"/>
      <c r="G10" s="293"/>
      <c r="H10" s="293"/>
    </row>
    <row r="11" spans="1:10" s="344" customFormat="1" ht="25.5" x14ac:dyDescent="0.2">
      <c r="A11" s="449" t="s">
        <v>578</v>
      </c>
      <c r="B11" s="627">
        <f>Per_Patient_Cost_mean</f>
        <v>-7.35</v>
      </c>
      <c r="C11" s="628"/>
      <c r="D11" s="293"/>
      <c r="E11" s="293"/>
      <c r="F11" s="293"/>
      <c r="G11" s="293"/>
      <c r="H11" s="293"/>
    </row>
    <row r="12" spans="1:10" s="344" customFormat="1" ht="12.75" x14ac:dyDescent="0.2">
      <c r="A12" s="342" t="s">
        <v>528</v>
      </c>
      <c r="B12" s="629"/>
      <c r="C12" s="630"/>
      <c r="D12" s="293"/>
      <c r="E12" s="293"/>
      <c r="F12" s="293"/>
      <c r="G12" s="293"/>
      <c r="H12" s="293"/>
    </row>
    <row r="13" spans="1:10" s="344" customFormat="1" ht="12.75" x14ac:dyDescent="0.2">
      <c r="A13" s="293"/>
      <c r="B13" s="293"/>
      <c r="C13" s="293"/>
      <c r="D13" s="293"/>
      <c r="E13" s="293"/>
      <c r="F13" s="293"/>
      <c r="G13" s="293"/>
      <c r="H13" s="293"/>
    </row>
    <row r="14" spans="1:10" s="344" customFormat="1" ht="12.75" x14ac:dyDescent="0.2">
      <c r="A14" s="293"/>
      <c r="B14" s="425" t="s">
        <v>529</v>
      </c>
      <c r="C14" s="425" t="s">
        <v>530</v>
      </c>
      <c r="D14" s="425" t="s">
        <v>531</v>
      </c>
      <c r="E14" s="425" t="s">
        <v>532</v>
      </c>
      <c r="F14" s="425" t="s">
        <v>533</v>
      </c>
      <c r="G14" s="293"/>
      <c r="H14" s="293"/>
    </row>
    <row r="15" spans="1:10" s="344" customFormat="1" ht="12.75" x14ac:dyDescent="0.2">
      <c r="A15" s="293" t="s">
        <v>534</v>
      </c>
      <c r="B15" s="427"/>
      <c r="C15" s="428"/>
      <c r="D15" s="428"/>
      <c r="E15" s="428"/>
      <c r="F15" s="299">
        <f>SUM(B15:E15)</f>
        <v>0</v>
      </c>
      <c r="G15" s="293"/>
      <c r="H15" s="296" t="str">
        <f>IF(F15=B10,"","Error")</f>
        <v>Error</v>
      </c>
    </row>
    <row r="16" spans="1:10" s="344" customFormat="1" ht="12.75" x14ac:dyDescent="0.2">
      <c r="A16" s="293"/>
      <c r="B16" s="293"/>
      <c r="C16" s="293"/>
      <c r="D16" s="293"/>
      <c r="E16" s="293"/>
      <c r="F16" s="295"/>
      <c r="G16" s="295"/>
      <c r="H16" s="296"/>
    </row>
    <row r="17" spans="1:9" s="344" customFormat="1" ht="12.75" x14ac:dyDescent="0.2">
      <c r="A17" s="436" t="s">
        <v>575</v>
      </c>
      <c r="B17" s="437"/>
      <c r="C17" s="293"/>
      <c r="D17" s="293"/>
      <c r="E17" s="293"/>
      <c r="F17" s="293"/>
      <c r="G17" s="293"/>
      <c r="H17" s="293"/>
    </row>
    <row r="18" spans="1:9" s="344" customFormat="1" ht="12.75" x14ac:dyDescent="0.2">
      <c r="A18" s="293"/>
      <c r="B18" s="293"/>
      <c r="C18" s="293"/>
      <c r="D18" s="293"/>
      <c r="E18" s="293"/>
      <c r="F18" s="293"/>
      <c r="G18" s="293"/>
      <c r="H18" s="293"/>
    </row>
    <row r="19" spans="1:9" s="344" customFormat="1" ht="12.75" x14ac:dyDescent="0.2">
      <c r="A19" s="357" t="s">
        <v>576</v>
      </c>
      <c r="B19" s="359" t="s">
        <v>536</v>
      </c>
      <c r="C19" s="359" t="s">
        <v>537</v>
      </c>
      <c r="D19" s="359" t="s">
        <v>538</v>
      </c>
      <c r="E19" s="359" t="s">
        <v>529</v>
      </c>
      <c r="F19" s="359" t="s">
        <v>530</v>
      </c>
      <c r="G19" s="359" t="s">
        <v>531</v>
      </c>
      <c r="H19" s="360" t="s">
        <v>532</v>
      </c>
    </row>
    <row r="20" spans="1:9" s="344" customFormat="1" ht="12.75" x14ac:dyDescent="0.2">
      <c r="A20" s="310"/>
      <c r="B20" s="311"/>
      <c r="C20" s="423"/>
      <c r="D20" s="424"/>
      <c r="E20" s="301">
        <f>ROUND(B$15*$C20,0)</f>
        <v>0</v>
      </c>
      <c r="F20" s="301">
        <f t="shared" ref="F20:H23" si="0">ROUND(C$15*$C20,0)</f>
        <v>0</v>
      </c>
      <c r="G20" s="301">
        <f t="shared" si="0"/>
        <v>0</v>
      </c>
      <c r="H20" s="304">
        <f t="shared" si="0"/>
        <v>0</v>
      </c>
      <c r="I20" s="348"/>
    </row>
    <row r="21" spans="1:9" s="344" customFormat="1" ht="12.75" x14ac:dyDescent="0.2">
      <c r="A21" s="310"/>
      <c r="B21" s="311"/>
      <c r="C21" s="423"/>
      <c r="D21" s="424"/>
      <c r="E21" s="301">
        <f>ROUND(B$15*$C21,0)</f>
        <v>0</v>
      </c>
      <c r="F21" s="301">
        <f t="shared" si="0"/>
        <v>0</v>
      </c>
      <c r="G21" s="301">
        <f>ROUND(D$15*$C21,0)</f>
        <v>0</v>
      </c>
      <c r="H21" s="304">
        <f t="shared" si="0"/>
        <v>0</v>
      </c>
      <c r="I21" s="348"/>
    </row>
    <row r="22" spans="1:9" s="344" customFormat="1" ht="12.75" x14ac:dyDescent="0.2">
      <c r="A22" s="310"/>
      <c r="B22" s="311"/>
      <c r="C22" s="423"/>
      <c r="D22" s="424"/>
      <c r="E22" s="301">
        <f t="shared" ref="E22:E23" si="1">ROUND(B$15*$C22,0)</f>
        <v>0</v>
      </c>
      <c r="F22" s="301">
        <f t="shared" si="0"/>
        <v>0</v>
      </c>
      <c r="G22" s="301">
        <f t="shared" si="0"/>
        <v>0</v>
      </c>
      <c r="H22" s="304">
        <f t="shared" si="0"/>
        <v>0</v>
      </c>
      <c r="I22" s="348"/>
    </row>
    <row r="23" spans="1:9" s="344" customFormat="1" ht="12.75" x14ac:dyDescent="0.2">
      <c r="A23" s="310"/>
      <c r="B23" s="311"/>
      <c r="C23" s="423"/>
      <c r="D23" s="424"/>
      <c r="E23" s="301">
        <f t="shared" si="1"/>
        <v>0</v>
      </c>
      <c r="F23" s="301">
        <f t="shared" si="0"/>
        <v>0</v>
      </c>
      <c r="G23" s="301">
        <f t="shared" si="0"/>
        <v>0</v>
      </c>
      <c r="H23" s="304">
        <f t="shared" si="0"/>
        <v>0</v>
      </c>
      <c r="I23" s="348"/>
    </row>
    <row r="24" spans="1:9" s="344" customFormat="1" ht="12.75" x14ac:dyDescent="0.2">
      <c r="A24" s="305" t="s">
        <v>539</v>
      </c>
      <c r="B24" s="301"/>
      <c r="C24" s="302"/>
      <c r="D24" s="303"/>
      <c r="E24" s="301"/>
      <c r="F24" s="301"/>
      <c r="G24" s="301"/>
      <c r="H24" s="304"/>
    </row>
    <row r="25" spans="1:9" s="352" customFormat="1" ht="12.75" x14ac:dyDescent="0.2">
      <c r="A25" s="345" t="s">
        <v>540</v>
      </c>
      <c r="B25" s="349"/>
      <c r="C25" s="349"/>
      <c r="D25" s="350">
        <f>IFERROR((SUM(E20:H20)*D20+SUM(E21:H21)*D21+SUM(E22:H22)*D22+SUM(E23:H23)*D23)/SUM(E25:H25),0)</f>
        <v>0</v>
      </c>
      <c r="E25" s="346">
        <f>SUM(E20:E24)</f>
        <v>0</v>
      </c>
      <c r="F25" s="346">
        <f t="shared" ref="F25:H25" si="2">SUM(F20:F24)</f>
        <v>0</v>
      </c>
      <c r="G25" s="346">
        <f t="shared" si="2"/>
        <v>0</v>
      </c>
      <c r="H25" s="347">
        <f t="shared" si="2"/>
        <v>0</v>
      </c>
      <c r="I25" s="351"/>
    </row>
    <row r="26" spans="1:9" s="344" customFormat="1" ht="12.75" x14ac:dyDescent="0.2">
      <c r="A26" s="293"/>
      <c r="B26" s="293"/>
      <c r="C26" s="293"/>
      <c r="D26" s="293"/>
      <c r="E26" s="306" t="str">
        <f>IF(E25=B15,"","Amend")</f>
        <v/>
      </c>
      <c r="F26" s="306" t="str">
        <f>IF(F25=C15,"","Amend")</f>
        <v/>
      </c>
      <c r="G26" s="306" t="str">
        <f>IF(G25=D15,"","Amend")</f>
        <v/>
      </c>
      <c r="H26" s="306" t="str">
        <f>IF(H25=E15,"","Amend")</f>
        <v/>
      </c>
    </row>
    <row r="27" spans="1:9" s="344" customFormat="1" ht="12.75" x14ac:dyDescent="0.2">
      <c r="A27" s="293"/>
      <c r="B27" s="293"/>
      <c r="C27" s="293"/>
      <c r="D27" s="293"/>
      <c r="E27" s="306"/>
      <c r="F27" s="306"/>
      <c r="G27" s="306"/>
      <c r="H27" s="306"/>
    </row>
    <row r="28" spans="1:9" s="344" customFormat="1" ht="12.75" x14ac:dyDescent="0.2">
      <c r="A28" s="294" t="s">
        <v>570</v>
      </c>
      <c r="B28" s="293"/>
      <c r="C28" s="293"/>
      <c r="D28" s="293"/>
      <c r="E28" s="293"/>
      <c r="F28" s="293"/>
      <c r="G28" s="293"/>
      <c r="H28" s="293"/>
    </row>
    <row r="29" spans="1:9" s="344" customFormat="1" ht="12.75" x14ac:dyDescent="0.2">
      <c r="A29" s="293"/>
      <c r="B29" s="293"/>
      <c r="C29" s="293"/>
      <c r="D29" s="293"/>
      <c r="E29" s="293"/>
      <c r="F29" s="293"/>
      <c r="G29" s="293"/>
      <c r="H29" s="293"/>
    </row>
    <row r="30" spans="1:9" s="354" customFormat="1" ht="12.75" x14ac:dyDescent="0.2">
      <c r="A30" s="421" t="s">
        <v>541</v>
      </c>
      <c r="B30" s="422" t="s">
        <v>542</v>
      </c>
      <c r="C30" s="422" t="s">
        <v>543</v>
      </c>
      <c r="D30" s="422" t="s">
        <v>544</v>
      </c>
      <c r="E30" s="422" t="s">
        <v>545</v>
      </c>
      <c r="F30" s="422" t="s">
        <v>182</v>
      </c>
      <c r="G30" s="422" t="s">
        <v>527</v>
      </c>
      <c r="H30" s="309" t="s">
        <v>569</v>
      </c>
      <c r="I30" s="353"/>
    </row>
    <row r="31" spans="1:9" s="344" customFormat="1" ht="12.75" x14ac:dyDescent="0.2">
      <c r="A31" s="310"/>
      <c r="B31" s="311"/>
      <c r="C31" s="311"/>
      <c r="D31" s="311"/>
      <c r="E31" s="312"/>
      <c r="F31" s="311"/>
      <c r="G31" s="313"/>
      <c r="H31" s="314"/>
    </row>
    <row r="32" spans="1:9" s="344" customFormat="1" ht="12.75" x14ac:dyDescent="0.2">
      <c r="A32" s="310"/>
      <c r="B32" s="311"/>
      <c r="C32" s="311"/>
      <c r="D32" s="311"/>
      <c r="E32" s="312"/>
      <c r="F32" s="311"/>
      <c r="G32" s="313"/>
      <c r="H32" s="314"/>
    </row>
    <row r="33" spans="1:8" s="344" customFormat="1" ht="12.75" x14ac:dyDescent="0.2">
      <c r="A33" s="310"/>
      <c r="B33" s="311"/>
      <c r="C33" s="311"/>
      <c r="D33" s="311"/>
      <c r="E33" s="312"/>
      <c r="F33" s="311"/>
      <c r="G33" s="313"/>
      <c r="H33" s="314"/>
    </row>
    <row r="34" spans="1:8" s="344" customFormat="1" ht="12.75" x14ac:dyDescent="0.2">
      <c r="A34" s="305" t="s">
        <v>539</v>
      </c>
      <c r="B34" s="301"/>
      <c r="C34" s="301"/>
      <c r="D34" s="301"/>
      <c r="E34" s="315"/>
      <c r="F34" s="301"/>
      <c r="G34" s="316"/>
      <c r="H34" s="314"/>
    </row>
    <row r="35" spans="1:8" s="344" customFormat="1" ht="12.75" x14ac:dyDescent="0.2">
      <c r="A35" s="297" t="s">
        <v>533</v>
      </c>
      <c r="B35" s="317"/>
      <c r="C35" s="317"/>
      <c r="D35" s="317"/>
      <c r="E35" s="317"/>
      <c r="F35" s="317"/>
      <c r="G35" s="318">
        <f>SUM(G31:G34)</f>
        <v>0</v>
      </c>
      <c r="H35" s="314"/>
    </row>
    <row r="36" spans="1:8" s="344" customFormat="1" ht="12.75" x14ac:dyDescent="0.2">
      <c r="A36" s="297" t="s">
        <v>546</v>
      </c>
      <c r="B36" s="317"/>
      <c r="C36" s="317"/>
      <c r="D36" s="317"/>
      <c r="E36" s="317"/>
      <c r="F36" s="317"/>
      <c r="G36" s="318">
        <f>G35*$D$25</f>
        <v>0</v>
      </c>
      <c r="H36" s="314"/>
    </row>
    <row r="37" spans="1:8" s="344" customFormat="1" ht="12.75" x14ac:dyDescent="0.2">
      <c r="A37" s="307" t="s">
        <v>547</v>
      </c>
      <c r="B37" s="308" t="s">
        <v>542</v>
      </c>
      <c r="C37" s="308" t="s">
        <v>543</v>
      </c>
      <c r="D37" s="308" t="s">
        <v>544</v>
      </c>
      <c r="E37" s="308" t="s">
        <v>545</v>
      </c>
      <c r="F37" s="308" t="s">
        <v>182</v>
      </c>
      <c r="G37" s="319" t="s">
        <v>527</v>
      </c>
      <c r="H37" s="314"/>
    </row>
    <row r="38" spans="1:8" s="344" customFormat="1" ht="12.75" x14ac:dyDescent="0.2">
      <c r="A38" s="310"/>
      <c r="B38" s="311"/>
      <c r="C38" s="311"/>
      <c r="D38" s="311"/>
      <c r="E38" s="312"/>
      <c r="F38" s="311"/>
      <c r="G38" s="320"/>
      <c r="H38" s="314"/>
    </row>
    <row r="39" spans="1:8" s="344" customFormat="1" ht="12.75" x14ac:dyDescent="0.2">
      <c r="A39" s="310"/>
      <c r="B39" s="311"/>
      <c r="C39" s="311"/>
      <c r="D39" s="311"/>
      <c r="E39" s="312"/>
      <c r="F39" s="311"/>
      <c r="G39" s="320"/>
      <c r="H39" s="321"/>
    </row>
    <row r="40" spans="1:8" s="344" customFormat="1" ht="12.75" x14ac:dyDescent="0.2">
      <c r="A40" s="305" t="s">
        <v>539</v>
      </c>
      <c r="B40" s="322"/>
      <c r="C40" s="322"/>
      <c r="D40" s="322"/>
      <c r="E40" s="323"/>
      <c r="F40" s="322"/>
      <c r="G40" s="324"/>
      <c r="H40" s="321"/>
    </row>
    <row r="41" spans="1:8" s="344" customFormat="1" ht="12.75" x14ac:dyDescent="0.2">
      <c r="A41" s="297" t="s">
        <v>533</v>
      </c>
      <c r="B41" s="317"/>
      <c r="C41" s="317"/>
      <c r="D41" s="317"/>
      <c r="E41" s="317"/>
      <c r="F41" s="317"/>
      <c r="G41" s="318">
        <f>SUM(G38:G40)</f>
        <v>0</v>
      </c>
      <c r="H41" s="314"/>
    </row>
    <row r="42" spans="1:8" s="344" customFormat="1" ht="12.75" x14ac:dyDescent="0.2">
      <c r="A42" s="297" t="s">
        <v>546</v>
      </c>
      <c r="B42" s="317"/>
      <c r="C42" s="317"/>
      <c r="D42" s="317"/>
      <c r="E42" s="317"/>
      <c r="F42" s="317"/>
      <c r="G42" s="318">
        <f>G41*$D$25</f>
        <v>0</v>
      </c>
      <c r="H42" s="314"/>
    </row>
    <row r="43" spans="1:8" s="344" customFormat="1" ht="12.75" x14ac:dyDescent="0.2">
      <c r="A43" s="307" t="s">
        <v>548</v>
      </c>
      <c r="B43" s="308" t="s">
        <v>542</v>
      </c>
      <c r="C43" s="308" t="s">
        <v>543</v>
      </c>
      <c r="D43" s="308" t="s">
        <v>544</v>
      </c>
      <c r="E43" s="308" t="s">
        <v>545</v>
      </c>
      <c r="F43" s="308" t="s">
        <v>182</v>
      </c>
      <c r="G43" s="319" t="s">
        <v>527</v>
      </c>
      <c r="H43" s="314"/>
    </row>
    <row r="44" spans="1:8" s="344" customFormat="1" ht="12.75" x14ac:dyDescent="0.2">
      <c r="A44" s="310"/>
      <c r="B44" s="311"/>
      <c r="C44" s="311"/>
      <c r="D44" s="311"/>
      <c r="E44" s="312"/>
      <c r="F44" s="311"/>
      <c r="G44" s="320"/>
      <c r="H44" s="314"/>
    </row>
    <row r="45" spans="1:8" s="344" customFormat="1" ht="12.75" x14ac:dyDescent="0.2">
      <c r="A45" s="305" t="s">
        <v>539</v>
      </c>
      <c r="B45" s="325"/>
      <c r="C45" s="325"/>
      <c r="D45" s="325"/>
      <c r="E45" s="315"/>
      <c r="F45" s="301"/>
      <c r="G45" s="326"/>
      <c r="H45" s="314"/>
    </row>
    <row r="46" spans="1:8" s="344" customFormat="1" ht="12.75" x14ac:dyDescent="0.2">
      <c r="A46" s="297" t="s">
        <v>533</v>
      </c>
      <c r="B46" s="317"/>
      <c r="C46" s="317"/>
      <c r="D46" s="317"/>
      <c r="E46" s="317"/>
      <c r="F46" s="317"/>
      <c r="G46" s="327">
        <f>SUM(G44:G45)</f>
        <v>0</v>
      </c>
      <c r="H46" s="314"/>
    </row>
    <row r="47" spans="1:8" s="344" customFormat="1" ht="12.75" x14ac:dyDescent="0.2">
      <c r="A47" s="297" t="s">
        <v>549</v>
      </c>
      <c r="B47" s="317"/>
      <c r="C47" s="317"/>
      <c r="D47" s="317"/>
      <c r="E47" s="317"/>
      <c r="F47" s="317"/>
      <c r="G47" s="364">
        <f>G46+G42+G36</f>
        <v>0</v>
      </c>
      <c r="H47" s="329"/>
    </row>
    <row r="48" spans="1:8" s="344" customFormat="1" ht="12.75" x14ac:dyDescent="0.2">
      <c r="A48" s="293"/>
      <c r="B48" s="293"/>
      <c r="C48" s="293"/>
      <c r="D48" s="293"/>
      <c r="E48" s="293"/>
      <c r="F48" s="293"/>
      <c r="G48" s="293"/>
      <c r="H48" s="293"/>
    </row>
    <row r="49" spans="1:8" s="344" customFormat="1" ht="12.75" x14ac:dyDescent="0.2">
      <c r="A49" s="293"/>
      <c r="B49" s="293"/>
      <c r="C49" s="293"/>
      <c r="D49" s="293"/>
      <c r="E49" s="293"/>
      <c r="F49" s="293"/>
      <c r="G49" s="293"/>
      <c r="H49" s="293"/>
    </row>
    <row r="50" spans="1:8" s="344" customFormat="1" ht="12.75" x14ac:dyDescent="0.2">
      <c r="A50" s="294" t="s">
        <v>571</v>
      </c>
      <c r="B50" s="293"/>
      <c r="C50" s="293"/>
      <c r="D50" s="293"/>
      <c r="E50" s="293"/>
      <c r="F50" s="293"/>
      <c r="G50" s="293"/>
      <c r="H50" s="293"/>
    </row>
    <row r="51" spans="1:8" s="344" customFormat="1" ht="12.75" x14ac:dyDescent="0.2">
      <c r="A51" s="293"/>
      <c r="B51" s="293"/>
      <c r="C51" s="293"/>
      <c r="D51" s="293"/>
      <c r="E51" s="293"/>
      <c r="F51" s="293"/>
      <c r="G51" s="293"/>
      <c r="H51" s="293"/>
    </row>
    <row r="52" spans="1:8" s="344" customFormat="1" ht="12.75" x14ac:dyDescent="0.2">
      <c r="A52" s="421" t="s">
        <v>550</v>
      </c>
      <c r="B52" s="422" t="s">
        <v>551</v>
      </c>
      <c r="C52" s="435" t="s">
        <v>552</v>
      </c>
      <c r="D52" s="293"/>
      <c r="E52" s="293"/>
      <c r="F52" s="293"/>
      <c r="G52" s="293"/>
      <c r="H52" s="293"/>
    </row>
    <row r="53" spans="1:8" s="344" customFormat="1" ht="12.75" x14ac:dyDescent="0.2">
      <c r="A53" s="433" t="s">
        <v>553</v>
      </c>
      <c r="B53" s="426"/>
      <c r="C53" s="434"/>
      <c r="D53" s="293"/>
      <c r="E53" s="293"/>
      <c r="F53" s="293"/>
      <c r="G53" s="293"/>
      <c r="H53" s="293"/>
    </row>
    <row r="54" spans="1:8" s="344" customFormat="1" ht="12.75" x14ac:dyDescent="0.2">
      <c r="A54" s="430" t="s">
        <v>554</v>
      </c>
      <c r="B54" s="431"/>
      <c r="C54" s="432"/>
      <c r="D54" s="293"/>
      <c r="E54" s="293"/>
      <c r="F54" s="293"/>
      <c r="G54" s="293"/>
      <c r="H54" s="293"/>
    </row>
    <row r="55" spans="1:8" s="344" customFormat="1" ht="12.75" x14ac:dyDescent="0.2">
      <c r="A55" s="293"/>
      <c r="B55" s="293"/>
      <c r="C55" s="293"/>
      <c r="D55" s="293"/>
      <c r="E55" s="293"/>
      <c r="F55" s="293"/>
      <c r="G55" s="293"/>
      <c r="H55" s="293"/>
    </row>
    <row r="56" spans="1:8" s="344" customFormat="1" ht="12.75" x14ac:dyDescent="0.2">
      <c r="A56" s="293"/>
      <c r="B56" s="293"/>
      <c r="C56" s="293"/>
      <c r="D56" s="293"/>
      <c r="E56" s="293"/>
      <c r="F56" s="293"/>
      <c r="G56" s="293"/>
      <c r="H56" s="293"/>
    </row>
    <row r="57" spans="1:8" s="344" customFormat="1" ht="12.75" x14ac:dyDescent="0.2">
      <c r="A57" s="294" t="s">
        <v>555</v>
      </c>
      <c r="B57" s="293"/>
      <c r="C57" s="293"/>
      <c r="D57" s="293"/>
      <c r="E57" s="293"/>
      <c r="F57" s="293"/>
      <c r="G57" s="293"/>
      <c r="H57" s="293"/>
    </row>
    <row r="58" spans="1:8" s="344" customFormat="1" ht="12.75" x14ac:dyDescent="0.2">
      <c r="A58" s="294"/>
      <c r="B58" s="293"/>
      <c r="C58" s="293"/>
      <c r="D58" s="293"/>
      <c r="E58" s="293"/>
      <c r="F58" s="293"/>
      <c r="G58" s="293"/>
      <c r="H58" s="293"/>
    </row>
    <row r="59" spans="1:8" s="344" customFormat="1" ht="12.75" x14ac:dyDescent="0.2">
      <c r="A59" s="345" t="s">
        <v>556</v>
      </c>
      <c r="B59" s="346" t="s">
        <v>529</v>
      </c>
      <c r="C59" s="346" t="s">
        <v>530</v>
      </c>
      <c r="D59" s="346" t="s">
        <v>531</v>
      </c>
      <c r="E59" s="346" t="s">
        <v>532</v>
      </c>
      <c r="F59" s="347" t="s">
        <v>533</v>
      </c>
      <c r="G59" s="293"/>
      <c r="H59" s="293"/>
    </row>
    <row r="60" spans="1:8" s="344" customFormat="1" ht="26.25" customHeight="1" x14ac:dyDescent="0.2">
      <c r="A60" s="355" t="s">
        <v>557</v>
      </c>
      <c r="B60" s="429">
        <f>$G$47*B15</f>
        <v>0</v>
      </c>
      <c r="C60" s="429">
        <f>$G$47*C15</f>
        <v>0</v>
      </c>
      <c r="D60" s="429">
        <f>$G$47*D15</f>
        <v>0</v>
      </c>
      <c r="E60" s="429">
        <f>$G$47*E15</f>
        <v>0</v>
      </c>
      <c r="F60" s="366">
        <f>SUM(B60:E60)</f>
        <v>0</v>
      </c>
      <c r="G60" s="293"/>
      <c r="H60" s="293"/>
    </row>
    <row r="61" spans="1:8" s="344" customFormat="1" ht="22.5" customHeight="1" x14ac:dyDescent="0.2">
      <c r="A61" s="356" t="s">
        <v>558</v>
      </c>
      <c r="B61" s="429">
        <f>$B53</f>
        <v>0</v>
      </c>
      <c r="C61" s="429">
        <f>$B53</f>
        <v>0</v>
      </c>
      <c r="D61" s="429">
        <f>$B53</f>
        <v>0</v>
      </c>
      <c r="E61" s="429">
        <f>$B53</f>
        <v>0</v>
      </c>
      <c r="F61" s="366">
        <f>SUM(B61:E61)</f>
        <v>0</v>
      </c>
      <c r="G61" s="293"/>
      <c r="H61" s="293"/>
    </row>
    <row r="62" spans="1:8" s="344" customFormat="1" ht="25.5" x14ac:dyDescent="0.2">
      <c r="A62" s="356" t="s">
        <v>559</v>
      </c>
      <c r="B62" s="429">
        <f>$B54*$B$17</f>
        <v>0</v>
      </c>
      <c r="C62" s="429">
        <f>$B54*$B$17</f>
        <v>0</v>
      </c>
      <c r="D62" s="429">
        <f>$B54*$B$17</f>
        <v>0</v>
      </c>
      <c r="E62" s="429">
        <f>$B54*$B$17</f>
        <v>0</v>
      </c>
      <c r="F62" s="366">
        <f>SUM(B62:E62)</f>
        <v>0</v>
      </c>
      <c r="G62" s="293"/>
      <c r="H62" s="293"/>
    </row>
    <row r="63" spans="1:8" s="344" customFormat="1" ht="12.75" x14ac:dyDescent="0.2">
      <c r="A63" s="331" t="s">
        <v>533</v>
      </c>
      <c r="B63" s="332">
        <f t="shared" ref="B63:F63" si="3">SUM(B60:B62)</f>
        <v>0</v>
      </c>
      <c r="C63" s="332">
        <f t="shared" si="3"/>
        <v>0</v>
      </c>
      <c r="D63" s="332">
        <f t="shared" si="3"/>
        <v>0</v>
      </c>
      <c r="E63" s="332">
        <f t="shared" si="3"/>
        <v>0</v>
      </c>
      <c r="F63" s="337">
        <f t="shared" si="3"/>
        <v>0</v>
      </c>
      <c r="G63" s="293"/>
      <c r="H63" s="293"/>
    </row>
    <row r="64" spans="1:8" s="344" customFormat="1" ht="12.75" x14ac:dyDescent="0.2">
      <c r="A64" s="330" t="s">
        <v>560</v>
      </c>
      <c r="B64" s="300"/>
      <c r="C64" s="300"/>
      <c r="D64" s="300"/>
      <c r="E64" s="300"/>
      <c r="F64" s="366">
        <f>B9-F63</f>
        <v>-33075</v>
      </c>
      <c r="G64" s="293"/>
      <c r="H64" s="293"/>
    </row>
    <row r="65" spans="1:8" s="344" customFormat="1" ht="12.75" x14ac:dyDescent="0.2">
      <c r="A65" s="331" t="s">
        <v>561</v>
      </c>
      <c r="B65" s="298"/>
      <c r="C65" s="298"/>
      <c r="D65" s="298"/>
      <c r="E65" s="298"/>
      <c r="F65" s="328">
        <f>IFERROR(F64/B10,0)</f>
        <v>-7.35</v>
      </c>
      <c r="G65" s="293"/>
      <c r="H65" s="293"/>
    </row>
    <row r="66" spans="1:8" s="344" customFormat="1" ht="12.75" x14ac:dyDescent="0.2">
      <c r="A66" s="293"/>
      <c r="B66" s="293"/>
      <c r="C66" s="293"/>
      <c r="D66" s="293"/>
      <c r="E66" s="293"/>
      <c r="F66" s="293"/>
      <c r="G66" s="293"/>
      <c r="H66" s="293"/>
    </row>
    <row r="67" spans="1:8" s="344" customFormat="1" ht="12.75" x14ac:dyDescent="0.2">
      <c r="A67" s="293"/>
      <c r="B67" s="293"/>
      <c r="C67" s="293"/>
      <c r="D67" s="293"/>
      <c r="E67" s="293"/>
      <c r="F67" s="293"/>
      <c r="G67" s="293"/>
      <c r="H67" s="293"/>
    </row>
    <row r="68" spans="1:8" s="344" customFormat="1" ht="12.75" x14ac:dyDescent="0.2">
      <c r="A68" s="294" t="s">
        <v>562</v>
      </c>
      <c r="B68" s="293"/>
      <c r="C68" s="293"/>
      <c r="D68" s="293"/>
      <c r="E68" s="293"/>
      <c r="F68" s="293"/>
      <c r="G68" s="293"/>
      <c r="H68" s="293"/>
    </row>
    <row r="69" spans="1:8" s="344" customFormat="1" ht="12.75" x14ac:dyDescent="0.2">
      <c r="A69" s="293"/>
      <c r="B69" s="293"/>
      <c r="C69" s="293"/>
      <c r="D69" s="293"/>
      <c r="E69" s="293"/>
      <c r="F69" s="293"/>
      <c r="G69" s="293"/>
      <c r="H69" s="293"/>
    </row>
    <row r="70" spans="1:8" s="344" customFormat="1" ht="12.75" x14ac:dyDescent="0.2">
      <c r="A70" s="357" t="s">
        <v>563</v>
      </c>
      <c r="B70" s="358"/>
      <c r="C70" s="359" t="s">
        <v>529</v>
      </c>
      <c r="D70" s="359" t="s">
        <v>530</v>
      </c>
      <c r="E70" s="359" t="s">
        <v>531</v>
      </c>
      <c r="F70" s="359" t="s">
        <v>532</v>
      </c>
      <c r="G70" s="360" t="s">
        <v>533</v>
      </c>
      <c r="H70" s="293"/>
    </row>
    <row r="71" spans="1:8" s="344" customFormat="1" ht="12.75" x14ac:dyDescent="0.2">
      <c r="A71" s="637">
        <f>A20</f>
        <v>0</v>
      </c>
      <c r="B71" s="333" t="s">
        <v>564</v>
      </c>
      <c r="C71" s="334">
        <f>E20</f>
        <v>0</v>
      </c>
      <c r="D71" s="334">
        <f>F20</f>
        <v>0</v>
      </c>
      <c r="E71" s="334">
        <f>G20</f>
        <v>0</v>
      </c>
      <c r="F71" s="334">
        <f>H20</f>
        <v>0</v>
      </c>
      <c r="G71" s="367">
        <f>SUM(C71:F71)</f>
        <v>0</v>
      </c>
      <c r="H71" s="293"/>
    </row>
    <row r="72" spans="1:8" s="344" customFormat="1" ht="12.75" x14ac:dyDescent="0.2">
      <c r="A72" s="638"/>
      <c r="B72" s="333" t="s">
        <v>565</v>
      </c>
      <c r="C72" s="335">
        <f>(($G$35+$G$41)*$D$20+$G$46)*C71</f>
        <v>0</v>
      </c>
      <c r="D72" s="335">
        <f>(($G$35+$G$41)*$D$20+$G$46)*D71</f>
        <v>0</v>
      </c>
      <c r="E72" s="335">
        <f>(($G$35+$G$41)*$D$20+$G$46)*E71</f>
        <v>0</v>
      </c>
      <c r="F72" s="335">
        <f>(($G$35+$G$41)*$D$20+$G$46)*F71</f>
        <v>0</v>
      </c>
      <c r="G72" s="366">
        <f>SUM(C72:F72)</f>
        <v>0</v>
      </c>
      <c r="H72" s="293"/>
    </row>
    <row r="73" spans="1:8" s="344" customFormat="1" ht="12.75" x14ac:dyDescent="0.2">
      <c r="A73" s="638"/>
      <c r="B73" s="333" t="s">
        <v>566</v>
      </c>
      <c r="C73" s="335">
        <f>C71*$F$65</f>
        <v>0</v>
      </c>
      <c r="D73" s="335">
        <f t="shared" ref="D73:F73" si="4">D71*$F$65</f>
        <v>0</v>
      </c>
      <c r="E73" s="335">
        <f t="shared" si="4"/>
        <v>0</v>
      </c>
      <c r="F73" s="335">
        <f t="shared" si="4"/>
        <v>0</v>
      </c>
      <c r="G73" s="366">
        <f>SUM(C73:F73)</f>
        <v>0</v>
      </c>
      <c r="H73" s="293"/>
    </row>
    <row r="74" spans="1:8" s="344" customFormat="1" ht="12.75" x14ac:dyDescent="0.2">
      <c r="A74" s="638"/>
      <c r="B74" s="333" t="s">
        <v>567</v>
      </c>
      <c r="C74" s="335">
        <f>$B$53+$B$54</f>
        <v>0</v>
      </c>
      <c r="D74" s="335">
        <f t="shared" ref="D74:F74" si="5">$B$53+$B$54</f>
        <v>0</v>
      </c>
      <c r="E74" s="335">
        <f t="shared" si="5"/>
        <v>0</v>
      </c>
      <c r="F74" s="335">
        <f t="shared" si="5"/>
        <v>0</v>
      </c>
      <c r="G74" s="366">
        <f>SUM(C74:F74)</f>
        <v>0</v>
      </c>
      <c r="H74" s="293"/>
    </row>
    <row r="75" spans="1:8" s="344" customFormat="1" ht="12.75" x14ac:dyDescent="0.2">
      <c r="A75" s="639"/>
      <c r="B75" s="336" t="s">
        <v>568</v>
      </c>
      <c r="C75" s="318">
        <f>SUM(C72:C74)</f>
        <v>0</v>
      </c>
      <c r="D75" s="318">
        <f t="shared" ref="D75:F75" si="6">SUM(D72:D74)</f>
        <v>0</v>
      </c>
      <c r="E75" s="318">
        <f t="shared" si="6"/>
        <v>0</v>
      </c>
      <c r="F75" s="318">
        <f t="shared" si="6"/>
        <v>0</v>
      </c>
      <c r="G75" s="337">
        <f>SUM(G72:G74)</f>
        <v>0</v>
      </c>
      <c r="H75" s="293"/>
    </row>
    <row r="76" spans="1:8" s="344" customFormat="1" ht="12.75" x14ac:dyDescent="0.2">
      <c r="A76" s="637">
        <f>A21</f>
        <v>0</v>
      </c>
      <c r="B76" s="333" t="s">
        <v>564</v>
      </c>
      <c r="C76" s="334">
        <f>E21</f>
        <v>0</v>
      </c>
      <c r="D76" s="334">
        <f>F21</f>
        <v>0</v>
      </c>
      <c r="E76" s="334">
        <f>G21</f>
        <v>0</v>
      </c>
      <c r="F76" s="334">
        <f>H21</f>
        <v>0</v>
      </c>
      <c r="G76" s="367">
        <f>SUM(C76:F76)</f>
        <v>0</v>
      </c>
      <c r="H76" s="293"/>
    </row>
    <row r="77" spans="1:8" s="344" customFormat="1" ht="12.75" x14ac:dyDescent="0.2">
      <c r="A77" s="638"/>
      <c r="B77" s="333" t="s">
        <v>565</v>
      </c>
      <c r="C77" s="335">
        <f>(($G$35+$G$41)*$D$21+$G$46)*C76</f>
        <v>0</v>
      </c>
      <c r="D77" s="335">
        <f>(($G$35+$G$41)*$D$21+$G$46)*D76</f>
        <v>0</v>
      </c>
      <c r="E77" s="335">
        <f>(($G$35+$G$41)*$D$21+$G$46)*E76</f>
        <v>0</v>
      </c>
      <c r="F77" s="335">
        <f>(($G$35+$G$41)*$D$21+$G$46)*F76</f>
        <v>0</v>
      </c>
      <c r="G77" s="366">
        <f>SUM(C77:F77)</f>
        <v>0</v>
      </c>
      <c r="H77" s="293"/>
    </row>
    <row r="78" spans="1:8" s="344" customFormat="1" ht="12.75" x14ac:dyDescent="0.2">
      <c r="A78" s="638"/>
      <c r="B78" s="333" t="s">
        <v>566</v>
      </c>
      <c r="C78" s="335">
        <f>C76*$F$65</f>
        <v>0</v>
      </c>
      <c r="D78" s="335">
        <f t="shared" ref="D78:F78" si="7">D76*$F$65</f>
        <v>0</v>
      </c>
      <c r="E78" s="335">
        <f t="shared" si="7"/>
        <v>0</v>
      </c>
      <c r="F78" s="335">
        <f t="shared" si="7"/>
        <v>0</v>
      </c>
      <c r="G78" s="366">
        <f>SUM(C78:F78)</f>
        <v>0</v>
      </c>
      <c r="H78" s="293"/>
    </row>
    <row r="79" spans="1:8" s="344" customFormat="1" ht="12.75" x14ac:dyDescent="0.2">
      <c r="A79" s="638"/>
      <c r="B79" s="333" t="s">
        <v>567</v>
      </c>
      <c r="C79" s="335">
        <f>$B$54</f>
        <v>0</v>
      </c>
      <c r="D79" s="335">
        <f t="shared" ref="D79:F79" si="8">$B$54</f>
        <v>0</v>
      </c>
      <c r="E79" s="335">
        <f t="shared" si="8"/>
        <v>0</v>
      </c>
      <c r="F79" s="335">
        <f t="shared" si="8"/>
        <v>0</v>
      </c>
      <c r="G79" s="366">
        <f>SUM(C79:F79)</f>
        <v>0</v>
      </c>
      <c r="H79" s="293"/>
    </row>
    <row r="80" spans="1:8" s="344" customFormat="1" ht="12.75" x14ac:dyDescent="0.2">
      <c r="A80" s="639"/>
      <c r="B80" s="336" t="s">
        <v>568</v>
      </c>
      <c r="C80" s="318">
        <f>SUM(C77:C79)</f>
        <v>0</v>
      </c>
      <c r="D80" s="318">
        <f t="shared" ref="D80:F80" si="9">SUM(D77:D79)</f>
        <v>0</v>
      </c>
      <c r="E80" s="318">
        <f t="shared" si="9"/>
        <v>0</v>
      </c>
      <c r="F80" s="318">
        <f t="shared" si="9"/>
        <v>0</v>
      </c>
      <c r="G80" s="337">
        <f>SUM(G77:G79)</f>
        <v>0</v>
      </c>
      <c r="H80" s="293"/>
    </row>
    <row r="81" spans="1:8" s="344" customFormat="1" ht="12.75" x14ac:dyDescent="0.2">
      <c r="A81" s="637">
        <f>A22</f>
        <v>0</v>
      </c>
      <c r="B81" s="333" t="s">
        <v>564</v>
      </c>
      <c r="C81" s="334">
        <f>E22</f>
        <v>0</v>
      </c>
      <c r="D81" s="334">
        <f>F22</f>
        <v>0</v>
      </c>
      <c r="E81" s="334">
        <f>G22</f>
        <v>0</v>
      </c>
      <c r="F81" s="334">
        <f>H22</f>
        <v>0</v>
      </c>
      <c r="G81" s="367">
        <f>SUM(C81:F81)</f>
        <v>0</v>
      </c>
      <c r="H81" s="293"/>
    </row>
    <row r="82" spans="1:8" s="344" customFormat="1" ht="12.75" x14ac:dyDescent="0.2">
      <c r="A82" s="638"/>
      <c r="B82" s="333" t="s">
        <v>565</v>
      </c>
      <c r="C82" s="335">
        <f>(($G$35+$G$41)*$D$22+$G$46)*C81</f>
        <v>0</v>
      </c>
      <c r="D82" s="335">
        <f>(($G$35+$G$41)*$D$22+$G$46)*D81</f>
        <v>0</v>
      </c>
      <c r="E82" s="335">
        <f>(($G$35+$G$41)*$D$22+$G$46)*E81</f>
        <v>0</v>
      </c>
      <c r="F82" s="335">
        <f>(($G$35+$G$41)*$D$22+$G$46)*F81</f>
        <v>0</v>
      </c>
      <c r="G82" s="366">
        <f>SUM(C82:F82)</f>
        <v>0</v>
      </c>
      <c r="H82" s="293"/>
    </row>
    <row r="83" spans="1:8" s="344" customFormat="1" ht="12.75" x14ac:dyDescent="0.2">
      <c r="A83" s="638"/>
      <c r="B83" s="333" t="s">
        <v>566</v>
      </c>
      <c r="C83" s="335">
        <f>C81*$F$65</f>
        <v>0</v>
      </c>
      <c r="D83" s="335">
        <f t="shared" ref="D83:F83" si="10">D81*$F$65</f>
        <v>0</v>
      </c>
      <c r="E83" s="335">
        <f t="shared" si="10"/>
        <v>0</v>
      </c>
      <c r="F83" s="335">
        <f t="shared" si="10"/>
        <v>0</v>
      </c>
      <c r="G83" s="366">
        <f>SUM(C83:F83)</f>
        <v>0</v>
      </c>
      <c r="H83" s="293"/>
    </row>
    <row r="84" spans="1:8" s="344" customFormat="1" ht="12.75" x14ac:dyDescent="0.2">
      <c r="A84" s="638"/>
      <c r="B84" s="333" t="s">
        <v>567</v>
      </c>
      <c r="C84" s="335">
        <f>$B$54</f>
        <v>0</v>
      </c>
      <c r="D84" s="335">
        <f t="shared" ref="D84:F84" si="11">$B$54</f>
        <v>0</v>
      </c>
      <c r="E84" s="335">
        <f t="shared" si="11"/>
        <v>0</v>
      </c>
      <c r="F84" s="335">
        <f t="shared" si="11"/>
        <v>0</v>
      </c>
      <c r="G84" s="366">
        <f>SUM(C84:F84)</f>
        <v>0</v>
      </c>
      <c r="H84" s="293"/>
    </row>
    <row r="85" spans="1:8" s="344" customFormat="1" ht="12.75" x14ac:dyDescent="0.2">
      <c r="A85" s="639"/>
      <c r="B85" s="336" t="s">
        <v>568</v>
      </c>
      <c r="C85" s="318">
        <f>SUM(C82:C84)</f>
        <v>0</v>
      </c>
      <c r="D85" s="318">
        <f t="shared" ref="D85:F85" si="12">SUM(D82:D84)</f>
        <v>0</v>
      </c>
      <c r="E85" s="318">
        <f t="shared" si="12"/>
        <v>0</v>
      </c>
      <c r="F85" s="318">
        <f t="shared" si="12"/>
        <v>0</v>
      </c>
      <c r="G85" s="337">
        <f>SUM(G82:G84)</f>
        <v>0</v>
      </c>
      <c r="H85" s="293"/>
    </row>
    <row r="86" spans="1:8" s="344" customFormat="1" ht="12.75" x14ac:dyDescent="0.2">
      <c r="A86" s="637">
        <f>A23</f>
        <v>0</v>
      </c>
      <c r="B86" s="333" t="s">
        <v>564</v>
      </c>
      <c r="C86" s="334">
        <f>E23</f>
        <v>0</v>
      </c>
      <c r="D86" s="334">
        <f>F23</f>
        <v>0</v>
      </c>
      <c r="E86" s="334">
        <f>G23</f>
        <v>0</v>
      </c>
      <c r="F86" s="334">
        <f>H23</f>
        <v>0</v>
      </c>
      <c r="G86" s="367">
        <f>SUM(C86:F86)</f>
        <v>0</v>
      </c>
      <c r="H86" s="293"/>
    </row>
    <row r="87" spans="1:8" s="344" customFormat="1" ht="12.75" x14ac:dyDescent="0.2">
      <c r="A87" s="638"/>
      <c r="B87" s="333" t="s">
        <v>565</v>
      </c>
      <c r="C87" s="335">
        <f>(($G$35+$G$41)*$D$23+$G$46)*C86</f>
        <v>0</v>
      </c>
      <c r="D87" s="335">
        <f>(($G$35+$G$41)*$D$23+$G$46)*D86</f>
        <v>0</v>
      </c>
      <c r="E87" s="335">
        <f>(($G$35+$G$41)*$D$23+$G$46)*E86</f>
        <v>0</v>
      </c>
      <c r="F87" s="335">
        <f>(($G$35+$G$41)*$D$23+$G$46)*F86</f>
        <v>0</v>
      </c>
      <c r="G87" s="366">
        <f>SUM(C87:F87)</f>
        <v>0</v>
      </c>
      <c r="H87" s="293"/>
    </row>
    <row r="88" spans="1:8" s="344" customFormat="1" ht="12.75" x14ac:dyDescent="0.2">
      <c r="A88" s="638"/>
      <c r="B88" s="333" t="s">
        <v>566</v>
      </c>
      <c r="C88" s="335">
        <f>C86*$F$65</f>
        <v>0</v>
      </c>
      <c r="D88" s="335">
        <f t="shared" ref="D88:F88" si="13">D86*$F$65</f>
        <v>0</v>
      </c>
      <c r="E88" s="335">
        <f t="shared" si="13"/>
        <v>0</v>
      </c>
      <c r="F88" s="335">
        <f t="shared" si="13"/>
        <v>0</v>
      </c>
      <c r="G88" s="366">
        <f>SUM(C88:F88)</f>
        <v>0</v>
      </c>
      <c r="H88" s="293"/>
    </row>
    <row r="89" spans="1:8" s="344" customFormat="1" ht="12.75" x14ac:dyDescent="0.2">
      <c r="A89" s="638"/>
      <c r="B89" s="333" t="s">
        <v>567</v>
      </c>
      <c r="C89" s="335">
        <f>$B$54</f>
        <v>0</v>
      </c>
      <c r="D89" s="335">
        <f t="shared" ref="D89:F89" si="14">$B$54</f>
        <v>0</v>
      </c>
      <c r="E89" s="335">
        <f t="shared" si="14"/>
        <v>0</v>
      </c>
      <c r="F89" s="335">
        <f t="shared" si="14"/>
        <v>0</v>
      </c>
      <c r="G89" s="366">
        <f>SUM(C89:F89)</f>
        <v>0</v>
      </c>
      <c r="H89" s="293"/>
    </row>
    <row r="90" spans="1:8" s="344" customFormat="1" ht="12.75" x14ac:dyDescent="0.2">
      <c r="A90" s="639"/>
      <c r="B90" s="336" t="s">
        <v>568</v>
      </c>
      <c r="C90" s="318">
        <f>SUM(C87:C89)</f>
        <v>0</v>
      </c>
      <c r="D90" s="318">
        <f t="shared" ref="D90:F90" si="15">SUM(D87:D89)</f>
        <v>0</v>
      </c>
      <c r="E90" s="318">
        <f t="shared" si="15"/>
        <v>0</v>
      </c>
      <c r="F90" s="318">
        <f t="shared" si="15"/>
        <v>0</v>
      </c>
      <c r="G90" s="337">
        <f>SUM(G87:G89)</f>
        <v>0</v>
      </c>
      <c r="H90" s="293"/>
    </row>
    <row r="91" spans="1:8" s="344" customFormat="1" ht="12.75" x14ac:dyDescent="0.2">
      <c r="A91" s="640" t="s">
        <v>540</v>
      </c>
      <c r="B91" s="333" t="s">
        <v>564</v>
      </c>
      <c r="C91" s="334">
        <f>C86+C81+C76+C71</f>
        <v>0</v>
      </c>
      <c r="D91" s="334">
        <f t="shared" ref="D91:F91" si="16">D86+D81+D76+D71</f>
        <v>0</v>
      </c>
      <c r="E91" s="334">
        <f t="shared" si="16"/>
        <v>0</v>
      </c>
      <c r="F91" s="334">
        <f t="shared" si="16"/>
        <v>0</v>
      </c>
      <c r="G91" s="367">
        <f>SUM(C91:F91)</f>
        <v>0</v>
      </c>
      <c r="H91" s="293"/>
    </row>
    <row r="92" spans="1:8" s="344" customFormat="1" ht="12.75" x14ac:dyDescent="0.2">
      <c r="A92" s="641"/>
      <c r="B92" s="333" t="s">
        <v>565</v>
      </c>
      <c r="C92" s="335">
        <f t="shared" ref="C92:F94" si="17">C87+C82+C77+C72</f>
        <v>0</v>
      </c>
      <c r="D92" s="335">
        <f t="shared" si="17"/>
        <v>0</v>
      </c>
      <c r="E92" s="335">
        <f t="shared" si="17"/>
        <v>0</v>
      </c>
      <c r="F92" s="335">
        <f t="shared" si="17"/>
        <v>0</v>
      </c>
      <c r="G92" s="366">
        <f>SUM(C92:F92)</f>
        <v>0</v>
      </c>
      <c r="H92" s="293"/>
    </row>
    <row r="93" spans="1:8" s="344" customFormat="1" ht="12.75" x14ac:dyDescent="0.2">
      <c r="A93" s="641"/>
      <c r="B93" s="333" t="s">
        <v>566</v>
      </c>
      <c r="C93" s="335">
        <f t="shared" si="17"/>
        <v>0</v>
      </c>
      <c r="D93" s="335">
        <f t="shared" si="17"/>
        <v>0</v>
      </c>
      <c r="E93" s="335">
        <f t="shared" si="17"/>
        <v>0</v>
      </c>
      <c r="F93" s="335">
        <f t="shared" si="17"/>
        <v>0</v>
      </c>
      <c r="G93" s="366">
        <f>SUM(C93:F93)</f>
        <v>0</v>
      </c>
      <c r="H93" s="293"/>
    </row>
    <row r="94" spans="1:8" s="344" customFormat="1" ht="12.75" x14ac:dyDescent="0.2">
      <c r="A94" s="641"/>
      <c r="B94" s="333" t="s">
        <v>567</v>
      </c>
      <c r="C94" s="335">
        <f t="shared" si="17"/>
        <v>0</v>
      </c>
      <c r="D94" s="335">
        <f t="shared" si="17"/>
        <v>0</v>
      </c>
      <c r="E94" s="335">
        <f t="shared" si="17"/>
        <v>0</v>
      </c>
      <c r="F94" s="335">
        <f t="shared" si="17"/>
        <v>0</v>
      </c>
      <c r="G94" s="366">
        <f>SUM(C94:F94)</f>
        <v>0</v>
      </c>
      <c r="H94" s="293"/>
    </row>
    <row r="95" spans="1:8" s="344" customFormat="1" ht="12.75" x14ac:dyDescent="0.2">
      <c r="A95" s="642"/>
      <c r="B95" s="336" t="s">
        <v>568</v>
      </c>
      <c r="C95" s="318">
        <f>SUM(C92:C94)</f>
        <v>0</v>
      </c>
      <c r="D95" s="318">
        <f t="shared" ref="D95:F95" si="18">SUM(D92:D94)</f>
        <v>0</v>
      </c>
      <c r="E95" s="318">
        <f t="shared" si="18"/>
        <v>0</v>
      </c>
      <c r="F95" s="318">
        <f t="shared" si="18"/>
        <v>0</v>
      </c>
      <c r="G95" s="337">
        <f>SUM(G92:G94)</f>
        <v>0</v>
      </c>
      <c r="H95" s="293"/>
    </row>
    <row r="96" spans="1:8" s="344" customFormat="1" ht="12.75" x14ac:dyDescent="0.2">
      <c r="A96" s="293"/>
      <c r="B96" s="306" t="str">
        <f>IF(C91=B15,"","Check")</f>
        <v/>
      </c>
      <c r="C96" s="306" t="str">
        <f>IF(D91=C15,"","Check")</f>
        <v/>
      </c>
      <c r="D96" s="306" t="str">
        <f>IF(E91=D15,"","Check")</f>
        <v/>
      </c>
      <c r="E96" s="306" t="str">
        <f>IF(F91=E15,"","Check")</f>
        <v/>
      </c>
      <c r="F96" s="306"/>
      <c r="G96" s="306" t="str">
        <f>IF(G95=B9,"","Check")</f>
        <v>Check</v>
      </c>
      <c r="H96" s="293"/>
    </row>
    <row r="97" spans="1:8" s="344" customFormat="1" ht="12.75" x14ac:dyDescent="0.2">
      <c r="A97" s="363" t="s">
        <v>569</v>
      </c>
      <c r="B97" s="338"/>
      <c r="C97" s="338"/>
      <c r="D97" s="338"/>
      <c r="E97" s="338"/>
      <c r="F97" s="338"/>
      <c r="G97" s="338"/>
      <c r="H97" s="339"/>
    </row>
    <row r="98" spans="1:8" s="344" customFormat="1" ht="12.75" x14ac:dyDescent="0.2">
      <c r="A98" s="631"/>
      <c r="B98" s="632"/>
      <c r="C98" s="632"/>
      <c r="D98" s="632"/>
      <c r="E98" s="632"/>
      <c r="F98" s="632"/>
      <c r="G98" s="632"/>
      <c r="H98" s="633"/>
    </row>
    <row r="99" spans="1:8" s="344" customFormat="1" ht="12.75" x14ac:dyDescent="0.2">
      <c r="A99" s="631"/>
      <c r="B99" s="632"/>
      <c r="C99" s="632"/>
      <c r="D99" s="632"/>
      <c r="E99" s="632"/>
      <c r="F99" s="632"/>
      <c r="G99" s="632"/>
      <c r="H99" s="633"/>
    </row>
    <row r="100" spans="1:8" s="344" customFormat="1" ht="12.75" x14ac:dyDescent="0.2">
      <c r="A100" s="631"/>
      <c r="B100" s="632"/>
      <c r="C100" s="632"/>
      <c r="D100" s="632"/>
      <c r="E100" s="632"/>
      <c r="F100" s="632"/>
      <c r="G100" s="632"/>
      <c r="H100" s="633"/>
    </row>
    <row r="101" spans="1:8" s="344" customFormat="1" ht="12.75" x14ac:dyDescent="0.2">
      <c r="A101" s="631"/>
      <c r="B101" s="632"/>
      <c r="C101" s="632"/>
      <c r="D101" s="632"/>
      <c r="E101" s="632"/>
      <c r="F101" s="632"/>
      <c r="G101" s="632"/>
      <c r="H101" s="633"/>
    </row>
    <row r="102" spans="1:8" s="344" customFormat="1" ht="12.75" x14ac:dyDescent="0.2">
      <c r="A102" s="631"/>
      <c r="B102" s="632"/>
      <c r="C102" s="632"/>
      <c r="D102" s="632"/>
      <c r="E102" s="632"/>
      <c r="F102" s="632"/>
      <c r="G102" s="632"/>
      <c r="H102" s="633"/>
    </row>
    <row r="103" spans="1:8" s="344" customFormat="1" ht="12.75" x14ac:dyDescent="0.2">
      <c r="A103" s="631"/>
      <c r="B103" s="632"/>
      <c r="C103" s="632"/>
      <c r="D103" s="632"/>
      <c r="E103" s="632"/>
      <c r="F103" s="632"/>
      <c r="G103" s="632"/>
      <c r="H103" s="633"/>
    </row>
    <row r="104" spans="1:8" s="344" customFormat="1" ht="12.75" x14ac:dyDescent="0.2">
      <c r="A104" s="631"/>
      <c r="B104" s="632"/>
      <c r="C104" s="632"/>
      <c r="D104" s="632"/>
      <c r="E104" s="632"/>
      <c r="F104" s="632"/>
      <c r="G104" s="632"/>
      <c r="H104" s="633"/>
    </row>
    <row r="105" spans="1:8" s="344" customFormat="1" ht="12.75" x14ac:dyDescent="0.2">
      <c r="A105" s="631"/>
      <c r="B105" s="632"/>
      <c r="C105" s="632"/>
      <c r="D105" s="632"/>
      <c r="E105" s="632"/>
      <c r="F105" s="632"/>
      <c r="G105" s="632"/>
      <c r="H105" s="633"/>
    </row>
    <row r="106" spans="1:8" s="344" customFormat="1" ht="12.75" x14ac:dyDescent="0.2">
      <c r="A106" s="634"/>
      <c r="B106" s="635"/>
      <c r="C106" s="635"/>
      <c r="D106" s="635"/>
      <c r="E106" s="635"/>
      <c r="F106" s="635"/>
      <c r="G106" s="635"/>
      <c r="H106" s="636"/>
    </row>
    <row r="107" spans="1:8" s="344" customFormat="1" ht="12.75" x14ac:dyDescent="0.2">
      <c r="A107" s="293"/>
      <c r="B107" s="293"/>
      <c r="C107" s="293"/>
      <c r="D107" s="293"/>
      <c r="E107" s="293"/>
      <c r="F107" s="293"/>
      <c r="G107" s="293"/>
      <c r="H107" s="293"/>
    </row>
    <row r="108" spans="1:8" ht="18" x14ac:dyDescent="0.25">
      <c r="A108" s="292"/>
      <c r="B108" s="292"/>
      <c r="C108" s="292"/>
      <c r="D108" s="292"/>
      <c r="E108" s="292"/>
      <c r="F108" s="292"/>
      <c r="G108" s="292"/>
      <c r="H108" s="292"/>
    </row>
    <row r="109" spans="1:8" ht="18" x14ac:dyDescent="0.25">
      <c r="A109" s="292"/>
      <c r="B109" s="292"/>
      <c r="C109" s="292"/>
      <c r="D109" s="292"/>
      <c r="E109" s="292"/>
      <c r="F109" s="292"/>
      <c r="G109" s="292"/>
      <c r="H109" s="292"/>
    </row>
    <row r="110" spans="1:8" ht="18" x14ac:dyDescent="0.25">
      <c r="A110" s="292"/>
      <c r="B110" s="292"/>
      <c r="C110" s="292"/>
      <c r="D110" s="292"/>
      <c r="E110" s="292"/>
      <c r="F110" s="292"/>
      <c r="G110" s="292"/>
      <c r="H110" s="292"/>
    </row>
    <row r="111" spans="1:8" ht="18" x14ac:dyDescent="0.25">
      <c r="A111" s="292"/>
      <c r="B111" s="292"/>
      <c r="C111" s="292"/>
      <c r="D111" s="292"/>
      <c r="E111" s="292"/>
      <c r="F111" s="292"/>
      <c r="G111" s="292"/>
      <c r="H111" s="292"/>
    </row>
    <row r="112" spans="1:8" ht="18" x14ac:dyDescent="0.25">
      <c r="A112" s="292"/>
      <c r="B112" s="292"/>
      <c r="C112" s="292"/>
      <c r="D112" s="292"/>
      <c r="E112" s="292"/>
      <c r="F112" s="292"/>
      <c r="G112" s="292"/>
      <c r="H112" s="292"/>
    </row>
    <row r="113" spans="1:8" ht="18" x14ac:dyDescent="0.25">
      <c r="A113" s="292"/>
      <c r="B113" s="292"/>
      <c r="C113" s="292"/>
      <c r="D113" s="292"/>
      <c r="E113" s="292"/>
      <c r="F113" s="292"/>
      <c r="G113" s="292"/>
      <c r="H113" s="292"/>
    </row>
    <row r="114" spans="1:8" ht="18" x14ac:dyDescent="0.25">
      <c r="A114" s="292"/>
      <c r="B114" s="292"/>
      <c r="C114" s="292"/>
      <c r="D114" s="292"/>
      <c r="E114" s="292"/>
      <c r="F114" s="292"/>
      <c r="G114" s="292"/>
      <c r="H114" s="292"/>
    </row>
    <row r="115" spans="1:8" ht="18" x14ac:dyDescent="0.25">
      <c r="A115" s="292"/>
      <c r="B115" s="292"/>
      <c r="C115" s="292"/>
      <c r="D115" s="292"/>
      <c r="E115" s="292"/>
      <c r="F115" s="292"/>
      <c r="G115" s="292"/>
      <c r="H115" s="292"/>
    </row>
    <row r="116" spans="1:8" ht="18" x14ac:dyDescent="0.25">
      <c r="A116" s="292"/>
      <c r="B116" s="292"/>
      <c r="C116" s="292"/>
      <c r="D116" s="292"/>
      <c r="E116" s="292"/>
      <c r="F116" s="292"/>
      <c r="G116" s="292"/>
      <c r="H116" s="292"/>
    </row>
    <row r="117" spans="1:8" ht="18" x14ac:dyDescent="0.25">
      <c r="A117" s="292"/>
      <c r="B117" s="292"/>
      <c r="C117" s="292"/>
      <c r="D117" s="292"/>
      <c r="E117" s="292"/>
      <c r="F117" s="292"/>
      <c r="G117" s="292"/>
      <c r="H117" s="292"/>
    </row>
    <row r="118" spans="1:8" ht="18" x14ac:dyDescent="0.25">
      <c r="A118" s="292"/>
      <c r="B118" s="292"/>
      <c r="C118" s="292"/>
      <c r="D118" s="292"/>
      <c r="E118" s="292"/>
      <c r="F118" s="292"/>
      <c r="G118" s="292"/>
      <c r="H118" s="292"/>
    </row>
    <row r="119" spans="1:8" ht="18.75" x14ac:dyDescent="0.3">
      <c r="A119" s="290"/>
      <c r="B119" s="290"/>
      <c r="C119" s="290"/>
      <c r="D119" s="290"/>
      <c r="E119" s="290"/>
      <c r="F119" s="290"/>
      <c r="G119" s="290"/>
      <c r="H119" s="290"/>
    </row>
    <row r="120" spans="1:8" ht="18.75" x14ac:dyDescent="0.3">
      <c r="A120" s="290"/>
      <c r="B120" s="290"/>
      <c r="C120" s="290"/>
      <c r="D120" s="290"/>
      <c r="E120" s="290"/>
      <c r="F120" s="290"/>
      <c r="G120" s="290"/>
      <c r="H120" s="290"/>
    </row>
    <row r="121" spans="1:8" ht="18.75" x14ac:dyDescent="0.3">
      <c r="A121" s="290"/>
      <c r="B121" s="290"/>
      <c r="C121" s="290"/>
      <c r="D121" s="290"/>
      <c r="E121" s="290"/>
      <c r="F121" s="290"/>
      <c r="G121" s="290"/>
      <c r="H121" s="290"/>
    </row>
    <row r="122" spans="1:8" ht="18.75" x14ac:dyDescent="0.3">
      <c r="A122" s="290"/>
      <c r="B122" s="290"/>
      <c r="C122" s="290"/>
      <c r="D122" s="290"/>
      <c r="E122" s="290"/>
      <c r="F122" s="290"/>
      <c r="G122" s="290"/>
      <c r="H122" s="290"/>
    </row>
    <row r="123" spans="1:8" ht="18.75" x14ac:dyDescent="0.3">
      <c r="A123" s="290"/>
      <c r="B123" s="290"/>
      <c r="C123" s="290"/>
      <c r="D123" s="290"/>
      <c r="E123" s="290"/>
      <c r="F123" s="290"/>
      <c r="G123" s="290"/>
      <c r="H123" s="290"/>
    </row>
    <row r="124" spans="1:8" ht="18.75" x14ac:dyDescent="0.3">
      <c r="A124" s="290"/>
      <c r="B124" s="290"/>
      <c r="C124" s="290"/>
      <c r="D124" s="290"/>
      <c r="E124" s="290"/>
      <c r="F124" s="290"/>
      <c r="G124" s="290"/>
      <c r="H124" s="290"/>
    </row>
    <row r="125" spans="1:8" ht="18.75" x14ac:dyDescent="0.3">
      <c r="A125" s="290"/>
      <c r="B125" s="290"/>
      <c r="C125" s="290"/>
      <c r="D125" s="290"/>
      <c r="E125" s="290"/>
      <c r="F125" s="290"/>
      <c r="G125" s="290"/>
      <c r="H125" s="290"/>
    </row>
    <row r="126" spans="1:8" ht="18.75" x14ac:dyDescent="0.3">
      <c r="A126" s="290"/>
      <c r="B126" s="290"/>
      <c r="C126" s="290"/>
      <c r="D126" s="290"/>
      <c r="E126" s="290"/>
      <c r="F126" s="290"/>
      <c r="G126" s="290"/>
      <c r="H126" s="290"/>
    </row>
    <row r="127" spans="1:8" ht="18.75" x14ac:dyDescent="0.3">
      <c r="A127" s="290"/>
      <c r="B127" s="290"/>
      <c r="C127" s="290"/>
      <c r="D127" s="290"/>
      <c r="E127" s="290"/>
      <c r="F127" s="290"/>
      <c r="G127" s="290"/>
      <c r="H127" s="290"/>
    </row>
    <row r="128" spans="1:8" ht="18.75" x14ac:dyDescent="0.3">
      <c r="A128" s="290"/>
      <c r="B128" s="290"/>
      <c r="C128" s="290"/>
      <c r="D128" s="290"/>
      <c r="E128" s="290"/>
      <c r="F128" s="290"/>
      <c r="G128" s="290"/>
      <c r="H128" s="290"/>
    </row>
    <row r="129" spans="1:8" ht="18.75" x14ac:dyDescent="0.3">
      <c r="A129" s="290"/>
      <c r="B129" s="290"/>
      <c r="C129" s="290"/>
      <c r="D129" s="290"/>
      <c r="E129" s="290"/>
      <c r="F129" s="290"/>
      <c r="G129" s="290"/>
      <c r="H129" s="290"/>
    </row>
    <row r="130" spans="1:8" ht="18.75" x14ac:dyDescent="0.3">
      <c r="A130" s="290"/>
      <c r="B130" s="290"/>
      <c r="C130" s="290"/>
      <c r="D130" s="290"/>
      <c r="E130" s="290"/>
      <c r="F130" s="290"/>
      <c r="G130" s="290"/>
      <c r="H130" s="290"/>
    </row>
    <row r="131" spans="1:8" ht="18.75" x14ac:dyDescent="0.3">
      <c r="A131" s="290"/>
      <c r="B131" s="290"/>
      <c r="C131" s="290"/>
      <c r="D131" s="290"/>
      <c r="E131" s="290"/>
      <c r="F131" s="290"/>
      <c r="G131" s="290"/>
      <c r="H131" s="290"/>
    </row>
    <row r="132" spans="1:8" ht="18.75" x14ac:dyDescent="0.3">
      <c r="A132" s="290"/>
      <c r="B132" s="290"/>
      <c r="C132" s="290"/>
      <c r="D132" s="290"/>
      <c r="E132" s="290"/>
      <c r="F132" s="290"/>
      <c r="G132" s="290"/>
      <c r="H132" s="290"/>
    </row>
    <row r="133" spans="1:8" ht="18.75" x14ac:dyDescent="0.3">
      <c r="A133" s="290"/>
      <c r="B133" s="290"/>
      <c r="C133" s="290"/>
      <c r="D133" s="290"/>
      <c r="E133" s="290"/>
      <c r="F133" s="290"/>
      <c r="G133" s="290"/>
      <c r="H133" s="290"/>
    </row>
    <row r="134" spans="1:8" ht="18.75" x14ac:dyDescent="0.3">
      <c r="A134" s="290"/>
      <c r="B134" s="290"/>
      <c r="C134" s="290"/>
      <c r="D134" s="290"/>
      <c r="E134" s="290"/>
      <c r="F134" s="290"/>
      <c r="G134" s="290"/>
      <c r="H134" s="290"/>
    </row>
    <row r="135" spans="1:8" ht="18.75" x14ac:dyDescent="0.3">
      <c r="A135" s="290"/>
      <c r="B135" s="290"/>
      <c r="C135" s="290"/>
      <c r="D135" s="290"/>
      <c r="E135" s="290"/>
      <c r="F135" s="290"/>
      <c r="G135" s="290"/>
      <c r="H135" s="290"/>
    </row>
    <row r="136" spans="1:8" ht="18.75" x14ac:dyDescent="0.3">
      <c r="A136" s="290"/>
      <c r="B136" s="290"/>
      <c r="C136" s="290"/>
      <c r="D136" s="290"/>
      <c r="E136" s="290"/>
      <c r="F136" s="290"/>
      <c r="G136" s="290"/>
      <c r="H136" s="290"/>
    </row>
    <row r="137" spans="1:8" ht="18.75" x14ac:dyDescent="0.3">
      <c r="A137" s="290"/>
      <c r="B137" s="290"/>
      <c r="C137" s="290"/>
      <c r="D137" s="290"/>
      <c r="E137" s="290"/>
      <c r="F137" s="290"/>
      <c r="G137" s="290"/>
      <c r="H137" s="290"/>
    </row>
    <row r="138" spans="1:8" ht="18.75" x14ac:dyDescent="0.3">
      <c r="A138" s="290"/>
      <c r="B138" s="290"/>
      <c r="C138" s="290"/>
      <c r="D138" s="290"/>
      <c r="E138" s="290"/>
      <c r="F138" s="290"/>
      <c r="G138" s="290"/>
      <c r="H138" s="290"/>
    </row>
    <row r="139" spans="1:8" ht="18.75" x14ac:dyDescent="0.3">
      <c r="A139" s="290"/>
      <c r="B139" s="290"/>
      <c r="C139" s="290"/>
      <c r="D139" s="290"/>
      <c r="E139" s="290"/>
      <c r="F139" s="290"/>
      <c r="G139" s="290"/>
      <c r="H139" s="290"/>
    </row>
    <row r="140" spans="1:8" ht="18.75" x14ac:dyDescent="0.3">
      <c r="A140" s="290"/>
      <c r="B140" s="290"/>
      <c r="C140" s="290"/>
      <c r="D140" s="290"/>
      <c r="E140" s="290"/>
      <c r="F140" s="290"/>
      <c r="G140" s="290"/>
      <c r="H140" s="290"/>
    </row>
    <row r="141" spans="1:8" ht="18.75" x14ac:dyDescent="0.3">
      <c r="A141" s="290"/>
      <c r="B141" s="290"/>
      <c r="C141" s="290"/>
      <c r="D141" s="290"/>
      <c r="E141" s="290"/>
      <c r="F141" s="290"/>
      <c r="G141" s="290"/>
      <c r="H141" s="290"/>
    </row>
    <row r="142" spans="1:8" ht="18.75" x14ac:dyDescent="0.3">
      <c r="A142" s="290"/>
      <c r="B142" s="290"/>
      <c r="C142" s="290"/>
      <c r="D142" s="290"/>
      <c r="E142" s="290"/>
      <c r="F142" s="290"/>
      <c r="G142" s="290"/>
      <c r="H142" s="290"/>
    </row>
    <row r="143" spans="1:8" ht="18.75" x14ac:dyDescent="0.3">
      <c r="A143" s="290"/>
      <c r="B143" s="290"/>
      <c r="C143" s="290"/>
      <c r="D143" s="290"/>
      <c r="E143" s="290"/>
      <c r="F143" s="290"/>
      <c r="G143" s="290"/>
      <c r="H143" s="290"/>
    </row>
    <row r="144" spans="1:8" ht="18.75" x14ac:dyDescent="0.3">
      <c r="A144" s="290"/>
    </row>
    <row r="145" spans="1:1" ht="18.75" x14ac:dyDescent="0.3">
      <c r="A145" s="290"/>
    </row>
    <row r="146" spans="1:1" ht="18.75" x14ac:dyDescent="0.3">
      <c r="A146" s="290"/>
    </row>
    <row r="147" spans="1:1" ht="18.75" x14ac:dyDescent="0.3">
      <c r="A147" s="290"/>
    </row>
    <row r="148" spans="1:1" ht="18.75" x14ac:dyDescent="0.3">
      <c r="A148" s="290"/>
    </row>
    <row r="149" spans="1:1" ht="18.75" x14ac:dyDescent="0.3">
      <c r="A149" s="290"/>
    </row>
    <row r="150" spans="1:1" ht="18.75" x14ac:dyDescent="0.3">
      <c r="A150" s="290"/>
    </row>
    <row r="151" spans="1:1" ht="18.75" x14ac:dyDescent="0.3">
      <c r="A151" s="290"/>
    </row>
    <row r="152" spans="1:1" ht="18.75" x14ac:dyDescent="0.3">
      <c r="A152" s="290"/>
    </row>
    <row r="153" spans="1:1" ht="18.75" x14ac:dyDescent="0.3">
      <c r="A153" s="290"/>
    </row>
    <row r="154" spans="1:1" ht="18.75" x14ac:dyDescent="0.3">
      <c r="A154" s="290"/>
    </row>
    <row r="155" spans="1:1" ht="18.75" x14ac:dyDescent="0.3">
      <c r="A155" s="290"/>
    </row>
    <row r="156" spans="1:1" ht="18.75" x14ac:dyDescent="0.3">
      <c r="A156" s="290"/>
    </row>
    <row r="157" spans="1:1" ht="18.75" x14ac:dyDescent="0.3">
      <c r="A157" s="290"/>
    </row>
    <row r="158" spans="1:1" ht="18.75" x14ac:dyDescent="0.3">
      <c r="A158" s="290"/>
    </row>
    <row r="159" spans="1:1" ht="18.75" x14ac:dyDescent="0.3">
      <c r="A159" s="290"/>
    </row>
    <row r="160" spans="1:1" ht="18.75" x14ac:dyDescent="0.3">
      <c r="A160" s="290"/>
    </row>
    <row r="161" spans="1:1" ht="18.75" x14ac:dyDescent="0.3">
      <c r="A161" s="290"/>
    </row>
    <row r="162" spans="1:1" ht="18.75" x14ac:dyDescent="0.3">
      <c r="A162" s="290"/>
    </row>
    <row r="163" spans="1:1" ht="18.75" x14ac:dyDescent="0.3">
      <c r="A163" s="290"/>
    </row>
    <row r="164" spans="1:1" ht="18.75" x14ac:dyDescent="0.3">
      <c r="A164" s="290"/>
    </row>
    <row r="165" spans="1:1" ht="18.75" x14ac:dyDescent="0.3">
      <c r="A165" s="290"/>
    </row>
    <row r="166" spans="1:1" ht="18.75" x14ac:dyDescent="0.3">
      <c r="A166" s="290"/>
    </row>
    <row r="167" spans="1:1" ht="18.75" x14ac:dyDescent="0.3">
      <c r="A167" s="290"/>
    </row>
    <row r="168" spans="1:1" ht="18.75" x14ac:dyDescent="0.3">
      <c r="A168" s="290"/>
    </row>
    <row r="169" spans="1:1" ht="18.75" x14ac:dyDescent="0.3">
      <c r="A169" s="290"/>
    </row>
    <row r="170" spans="1:1" ht="18.75" x14ac:dyDescent="0.3">
      <c r="A170" s="290"/>
    </row>
    <row r="171" spans="1:1" ht="18.75" x14ac:dyDescent="0.3">
      <c r="A171" s="290"/>
    </row>
    <row r="172" spans="1:1" ht="18.75" x14ac:dyDescent="0.3">
      <c r="A172" s="290"/>
    </row>
    <row r="173" spans="1:1" ht="18.75" x14ac:dyDescent="0.3">
      <c r="A173" s="290"/>
    </row>
    <row r="174" spans="1:1" ht="18.75" x14ac:dyDescent="0.3">
      <c r="A174" s="290"/>
    </row>
    <row r="175" spans="1:1" ht="18.75" x14ac:dyDescent="0.3">
      <c r="A175" s="290"/>
    </row>
    <row r="176" spans="1:1" ht="18.75" x14ac:dyDescent="0.3">
      <c r="A176" s="290"/>
    </row>
    <row r="177" spans="1:1" ht="18.75" x14ac:dyDescent="0.3">
      <c r="A177" s="290"/>
    </row>
    <row r="178" spans="1:1" ht="18.75" x14ac:dyDescent="0.3">
      <c r="A178" s="290"/>
    </row>
    <row r="179" spans="1:1" ht="18.75" x14ac:dyDescent="0.3">
      <c r="A179" s="290"/>
    </row>
    <row r="180" spans="1:1" ht="18.75" x14ac:dyDescent="0.3">
      <c r="A180" s="290"/>
    </row>
    <row r="181" spans="1:1" ht="18.75" x14ac:dyDescent="0.3">
      <c r="A181" s="290"/>
    </row>
    <row r="182" spans="1:1" ht="18.75" x14ac:dyDescent="0.3">
      <c r="A182" s="290"/>
    </row>
    <row r="183" spans="1:1" ht="18.75" x14ac:dyDescent="0.3">
      <c r="A183" s="290"/>
    </row>
    <row r="184" spans="1:1" ht="18.75" x14ac:dyDescent="0.3">
      <c r="A184" s="290"/>
    </row>
    <row r="185" spans="1:1" ht="18.75" x14ac:dyDescent="0.3">
      <c r="A185" s="290"/>
    </row>
    <row r="186" spans="1:1" ht="18.75" x14ac:dyDescent="0.3">
      <c r="A186" s="290"/>
    </row>
    <row r="187" spans="1:1" ht="18.75" x14ac:dyDescent="0.3">
      <c r="A187" s="290"/>
    </row>
    <row r="188" spans="1:1" ht="18.75" x14ac:dyDescent="0.3">
      <c r="A188" s="290"/>
    </row>
    <row r="189" spans="1:1" ht="18.75" x14ac:dyDescent="0.3">
      <c r="A189" s="290"/>
    </row>
    <row r="190" spans="1:1" ht="18.75" x14ac:dyDescent="0.3">
      <c r="A190" s="290"/>
    </row>
    <row r="191" spans="1:1" ht="18.75" x14ac:dyDescent="0.3">
      <c r="A191" s="290"/>
    </row>
    <row r="192" spans="1:1" ht="18.75" x14ac:dyDescent="0.3">
      <c r="A192" s="290"/>
    </row>
    <row r="193" spans="1:1" ht="18.75" x14ac:dyDescent="0.3">
      <c r="A193" s="290"/>
    </row>
    <row r="194" spans="1:1" ht="18.75" x14ac:dyDescent="0.3">
      <c r="A194" s="290"/>
    </row>
    <row r="195" spans="1:1" ht="18.75" x14ac:dyDescent="0.3">
      <c r="A195" s="290"/>
    </row>
    <row r="196" spans="1:1" ht="18.75" x14ac:dyDescent="0.3">
      <c r="A196" s="290"/>
    </row>
    <row r="197" spans="1:1" ht="18.75" x14ac:dyDescent="0.3">
      <c r="A197" s="290"/>
    </row>
    <row r="198" spans="1:1" ht="18.75" x14ac:dyDescent="0.3">
      <c r="A198" s="290"/>
    </row>
    <row r="199" spans="1:1" ht="18.75" x14ac:dyDescent="0.3">
      <c r="A199" s="290"/>
    </row>
    <row r="200" spans="1:1" ht="18.75" x14ac:dyDescent="0.3">
      <c r="A200" s="290"/>
    </row>
    <row r="201" spans="1:1" ht="18.75" x14ac:dyDescent="0.3">
      <c r="A201" s="290"/>
    </row>
    <row r="202" spans="1:1" ht="18.75" x14ac:dyDescent="0.3">
      <c r="A202" s="290"/>
    </row>
    <row r="203" spans="1:1" ht="18.75" x14ac:dyDescent="0.3">
      <c r="A203" s="290"/>
    </row>
    <row r="204" spans="1:1" ht="18.75" x14ac:dyDescent="0.3">
      <c r="A204" s="290"/>
    </row>
    <row r="205" spans="1:1" ht="18.75" x14ac:dyDescent="0.3">
      <c r="A205" s="290"/>
    </row>
    <row r="206" spans="1:1" ht="18.75" x14ac:dyDescent="0.3">
      <c r="A206" s="290"/>
    </row>
    <row r="207" spans="1:1" ht="18.75" x14ac:dyDescent="0.3">
      <c r="A207" s="290"/>
    </row>
    <row r="208" spans="1:1" ht="18.75" x14ac:dyDescent="0.3">
      <c r="A208" s="290"/>
    </row>
    <row r="209" spans="1:1" ht="18.75" x14ac:dyDescent="0.3">
      <c r="A209" s="290"/>
    </row>
    <row r="210" spans="1:1" ht="18.75" x14ac:dyDescent="0.3">
      <c r="A210" s="290"/>
    </row>
    <row r="211" spans="1:1" ht="18.75" x14ac:dyDescent="0.3">
      <c r="A211" s="290"/>
    </row>
    <row r="212" spans="1:1" ht="18.75" x14ac:dyDescent="0.3">
      <c r="A212" s="290"/>
    </row>
    <row r="213" spans="1:1" ht="18.75" x14ac:dyDescent="0.3">
      <c r="A213" s="290"/>
    </row>
    <row r="214" spans="1:1" ht="18.75" x14ac:dyDescent="0.3">
      <c r="A214" s="290"/>
    </row>
    <row r="215" spans="1:1" ht="18.75" x14ac:dyDescent="0.3">
      <c r="A215" s="290"/>
    </row>
    <row r="216" spans="1:1" ht="18.75" x14ac:dyDescent="0.3">
      <c r="A216" s="290"/>
    </row>
    <row r="217" spans="1:1" ht="18.75" x14ac:dyDescent="0.3">
      <c r="A217" s="290"/>
    </row>
    <row r="218" spans="1:1" ht="18.75" x14ac:dyDescent="0.3">
      <c r="A218" s="290"/>
    </row>
    <row r="219" spans="1:1" ht="18.75" x14ac:dyDescent="0.3">
      <c r="A219" s="290"/>
    </row>
    <row r="220" spans="1:1" ht="18.75" x14ac:dyDescent="0.3">
      <c r="A220" s="290"/>
    </row>
    <row r="221" spans="1:1" ht="18.75" x14ac:dyDescent="0.3">
      <c r="A221" s="290"/>
    </row>
    <row r="222" spans="1:1" ht="18.75" x14ac:dyDescent="0.3">
      <c r="A222" s="290"/>
    </row>
    <row r="223" spans="1:1" ht="18.75" x14ac:dyDescent="0.3">
      <c r="A223" s="290"/>
    </row>
    <row r="224" spans="1:1" ht="18.75" x14ac:dyDescent="0.3">
      <c r="A224" s="290"/>
    </row>
    <row r="225" spans="1:1" ht="18.75" x14ac:dyDescent="0.3">
      <c r="A225" s="290"/>
    </row>
    <row r="226" spans="1:1" ht="18.75" x14ac:dyDescent="0.3">
      <c r="A226" s="290"/>
    </row>
    <row r="227" spans="1:1" ht="18.75" x14ac:dyDescent="0.3">
      <c r="A227" s="290"/>
    </row>
    <row r="228" spans="1:1" ht="18.75" x14ac:dyDescent="0.3">
      <c r="A228" s="290"/>
    </row>
    <row r="229" spans="1:1" ht="18.75" x14ac:dyDescent="0.3">
      <c r="A229" s="290"/>
    </row>
    <row r="230" spans="1:1" ht="18.75" x14ac:dyDescent="0.3">
      <c r="A230" s="290"/>
    </row>
    <row r="231" spans="1:1" ht="18.75" x14ac:dyDescent="0.3">
      <c r="A231" s="290"/>
    </row>
    <row r="232" spans="1:1" ht="18.75" x14ac:dyDescent="0.3">
      <c r="A232" s="290"/>
    </row>
    <row r="233" spans="1:1" ht="18.75" x14ac:dyDescent="0.3">
      <c r="A233" s="290"/>
    </row>
    <row r="234" spans="1:1" ht="18.75" x14ac:dyDescent="0.3">
      <c r="A234" s="290"/>
    </row>
    <row r="235" spans="1:1" ht="18.75" x14ac:dyDescent="0.3">
      <c r="A235" s="290"/>
    </row>
    <row r="236" spans="1:1" ht="18.75" x14ac:dyDescent="0.3">
      <c r="A236" s="290"/>
    </row>
    <row r="237" spans="1:1" ht="18.75" x14ac:dyDescent="0.3">
      <c r="A237" s="290"/>
    </row>
    <row r="238" spans="1:1" ht="18.75" x14ac:dyDescent="0.3">
      <c r="A238" s="290"/>
    </row>
    <row r="239" spans="1:1" ht="18.75" x14ac:dyDescent="0.3">
      <c r="A239" s="290"/>
    </row>
    <row r="240" spans="1:1" ht="18.75" x14ac:dyDescent="0.3">
      <c r="A240" s="290"/>
    </row>
    <row r="241" spans="1:1" ht="18.75" x14ac:dyDescent="0.3">
      <c r="A241" s="290"/>
    </row>
    <row r="242" spans="1:1" ht="18.75" x14ac:dyDescent="0.3">
      <c r="A242" s="290"/>
    </row>
    <row r="243" spans="1:1" ht="18.75" x14ac:dyDescent="0.3">
      <c r="A243" s="290"/>
    </row>
    <row r="244" spans="1:1" ht="18.75" x14ac:dyDescent="0.3">
      <c r="A244" s="290"/>
    </row>
    <row r="245" spans="1:1" ht="18.75" x14ac:dyDescent="0.3">
      <c r="A245" s="290"/>
    </row>
  </sheetData>
  <sheetProtection password="AFF5" sheet="1" objects="1" scenarios="1"/>
  <mergeCells count="11">
    <mergeCell ref="A98:H106"/>
    <mergeCell ref="A71:A75"/>
    <mergeCell ref="A76:A80"/>
    <mergeCell ref="A81:A85"/>
    <mergeCell ref="A86:A90"/>
    <mergeCell ref="A91:A95"/>
    <mergeCell ref="B5:E5"/>
    <mergeCell ref="B9:C9"/>
    <mergeCell ref="B10:C10"/>
    <mergeCell ref="B11:C11"/>
    <mergeCell ref="B12:C12"/>
  </mergeCells>
  <pageMargins left="0.7" right="0.7" top="0.75" bottom="0.75" header="0.3" footer="0.3"/>
  <pageSetup paperSize="9" scale="48" fitToHeight="0"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5:C25"/>
  <sheetViews>
    <sheetView showGridLines="0" zoomScaleNormal="100" workbookViewId="0">
      <selection activeCell="B29" sqref="B28:B29"/>
    </sheetView>
  </sheetViews>
  <sheetFormatPr defaultRowHeight="15" x14ac:dyDescent="0.25"/>
  <cols>
    <col min="1" max="1" width="28" customWidth="1"/>
    <col min="2" max="2" width="93.28515625" customWidth="1"/>
  </cols>
  <sheetData>
    <row r="5" spans="1:3" x14ac:dyDescent="0.25">
      <c r="A5" s="506" t="s">
        <v>601</v>
      </c>
      <c r="B5" s="507" t="s">
        <v>602</v>
      </c>
    </row>
    <row r="6" spans="1:3" ht="26.25" customHeight="1" x14ac:dyDescent="0.25">
      <c r="A6" s="503" t="s">
        <v>607</v>
      </c>
      <c r="B6" s="505" t="s">
        <v>605</v>
      </c>
    </row>
    <row r="7" spans="1:3" s="27" customFormat="1" ht="27.75" customHeight="1" x14ac:dyDescent="0.25">
      <c r="A7" s="503" t="s">
        <v>606</v>
      </c>
      <c r="B7" s="505" t="s">
        <v>608</v>
      </c>
    </row>
    <row r="8" spans="1:3" ht="122.25" customHeight="1" x14ac:dyDescent="0.25">
      <c r="A8" s="504" t="s">
        <v>603</v>
      </c>
      <c r="B8" s="505" t="s">
        <v>604</v>
      </c>
    </row>
    <row r="9" spans="1:3" ht="128.25" x14ac:dyDescent="0.25">
      <c r="A9" s="504" t="s">
        <v>609</v>
      </c>
      <c r="B9" s="505" t="s">
        <v>621</v>
      </c>
    </row>
    <row r="10" spans="1:3" ht="85.5" x14ac:dyDescent="0.25">
      <c r="A10" s="504" t="s">
        <v>618</v>
      </c>
      <c r="B10" s="505" t="s">
        <v>622</v>
      </c>
    </row>
    <row r="11" spans="1:3" x14ac:dyDescent="0.25">
      <c r="A11" s="508" t="s">
        <v>619</v>
      </c>
      <c r="B11" s="509" t="s">
        <v>620</v>
      </c>
    </row>
    <row r="12" spans="1:3" ht="28.5" x14ac:dyDescent="0.25">
      <c r="A12" s="513" t="s">
        <v>629</v>
      </c>
      <c r="B12" s="518" t="s">
        <v>643</v>
      </c>
      <c r="C12" s="58"/>
    </row>
    <row r="13" spans="1:3" ht="132" x14ac:dyDescent="0.25">
      <c r="A13" s="508" t="s">
        <v>644</v>
      </c>
      <c r="B13" s="520" t="s">
        <v>645</v>
      </c>
      <c r="C13" s="58"/>
    </row>
    <row r="14" spans="1:3" ht="28.5" x14ac:dyDescent="0.25">
      <c r="A14" s="527" t="s">
        <v>650</v>
      </c>
      <c r="B14" s="528" t="s">
        <v>658</v>
      </c>
      <c r="C14" s="58"/>
    </row>
    <row r="15" spans="1:3" ht="28.5" x14ac:dyDescent="0.25">
      <c r="A15" s="527" t="s">
        <v>651</v>
      </c>
      <c r="B15" s="528" t="s">
        <v>652</v>
      </c>
      <c r="C15" s="58"/>
    </row>
    <row r="16" spans="1:3" x14ac:dyDescent="0.25">
      <c r="A16" s="527" t="s">
        <v>656</v>
      </c>
      <c r="B16" s="530" t="s">
        <v>657</v>
      </c>
      <c r="C16" s="58"/>
    </row>
    <row r="17" spans="1:3" ht="28.5" x14ac:dyDescent="0.25">
      <c r="A17" s="527" t="s">
        <v>660</v>
      </c>
      <c r="B17" s="528" t="s">
        <v>659</v>
      </c>
      <c r="C17" s="58"/>
    </row>
    <row r="18" spans="1:3" ht="57" x14ac:dyDescent="0.25">
      <c r="A18" s="508" t="s">
        <v>666</v>
      </c>
      <c r="B18" s="520" t="s">
        <v>665</v>
      </c>
      <c r="C18" s="58"/>
    </row>
    <row r="19" spans="1:3" x14ac:dyDescent="0.25">
      <c r="A19" s="535" t="s">
        <v>667</v>
      </c>
      <c r="B19" s="509" t="s">
        <v>668</v>
      </c>
      <c r="C19" s="58"/>
    </row>
    <row r="20" spans="1:3" ht="57" x14ac:dyDescent="0.25">
      <c r="A20" s="508" t="s">
        <v>676</v>
      </c>
      <c r="B20" s="520" t="s">
        <v>672</v>
      </c>
      <c r="C20" s="58"/>
    </row>
    <row r="21" spans="1:3" ht="42.75" x14ac:dyDescent="0.25">
      <c r="A21" s="508" t="s">
        <v>679</v>
      </c>
      <c r="B21" s="560" t="s">
        <v>677</v>
      </c>
      <c r="C21" s="58"/>
    </row>
    <row r="22" spans="1:3" ht="28.5" x14ac:dyDescent="0.25">
      <c r="A22" s="572" t="s">
        <v>680</v>
      </c>
      <c r="B22" s="560" t="s">
        <v>681</v>
      </c>
      <c r="C22" s="58"/>
    </row>
    <row r="23" spans="1:3" ht="28.5" x14ac:dyDescent="0.25">
      <c r="A23" s="508" t="s">
        <v>682</v>
      </c>
      <c r="B23" s="520" t="s">
        <v>683</v>
      </c>
      <c r="C23" s="58"/>
    </row>
    <row r="24" spans="1:3" ht="99.75" x14ac:dyDescent="0.25">
      <c r="A24" s="574" t="s">
        <v>691</v>
      </c>
      <c r="B24" s="520" t="s">
        <v>692</v>
      </c>
      <c r="C24" s="58"/>
    </row>
    <row r="25" spans="1:3" x14ac:dyDescent="0.25">
      <c r="A25" s="510"/>
      <c r="B25" s="510"/>
      <c r="C25" s="58"/>
    </row>
  </sheetData>
  <sheetProtection algorithmName="SHA-512" hashValue="euSHToz29p0hXj/+e4sk61bfxYMnQyx4MlZBava1mnr7s+Bf0XM0Ejnpb5rpu11qvEzr7n6B2R/rKq584FpvsQ==" saltValue="m6ZAgSxkxiSJEiKwNby38A==" spinCount="100000" sheet="1" objects="1" scenarios="1"/>
  <pageMargins left="0.7" right="0.7" top="0.75" bottom="0.75" header="0.3" footer="0.3"/>
  <pageSetup paperSize="9" scale="76"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14999847407452621"/>
    <pageSetUpPr fitToPage="1"/>
  </sheetPr>
  <dimension ref="A1:AB110"/>
  <sheetViews>
    <sheetView showGridLines="0" topLeftCell="A9" zoomScale="92" zoomScaleNormal="100" zoomScaleSheetLayoutView="20" workbookViewId="0">
      <selection activeCell="F15" sqref="F15"/>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9" width="25.7109375" customWidth="1"/>
    <col min="10" max="10" width="18.42578125" customWidth="1"/>
    <col min="11" max="12" width="22.42578125" customWidth="1"/>
    <col min="13" max="13" width="22.42578125" style="27" customWidth="1"/>
    <col min="14" max="15" width="22.42578125" customWidth="1"/>
    <col min="16" max="16" width="22.42578125" hidden="1" customWidth="1"/>
    <col min="17" max="24" width="16.85546875" customWidth="1"/>
  </cols>
  <sheetData>
    <row r="1" spans="1:28"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row>
    <row r="2" spans="1:28" ht="18" customHeight="1" x14ac:dyDescent="0.25">
      <c r="A2" s="6"/>
      <c r="B2" s="6"/>
      <c r="C2" s="6"/>
      <c r="D2" s="7"/>
      <c r="E2" s="7"/>
      <c r="F2" s="41"/>
      <c r="G2" s="594"/>
      <c r="H2" s="594"/>
      <c r="I2" s="594"/>
      <c r="J2" s="6"/>
      <c r="K2" s="6"/>
      <c r="L2" s="6"/>
      <c r="M2" s="6"/>
      <c r="N2" s="6"/>
      <c r="O2" s="6"/>
      <c r="P2" s="6"/>
      <c r="Q2" s="6"/>
      <c r="R2" s="6"/>
      <c r="S2" s="6"/>
      <c r="T2" s="6"/>
      <c r="U2" s="6"/>
      <c r="V2" s="6"/>
      <c r="W2" s="6"/>
      <c r="X2" s="6"/>
      <c r="Y2" s="6"/>
      <c r="Z2" s="6"/>
      <c r="AA2" s="6"/>
      <c r="AB2" s="6"/>
    </row>
    <row r="3" spans="1:28" ht="18" hidden="1" customHeight="1" x14ac:dyDescent="0.25">
      <c r="A3" s="6"/>
      <c r="B3" s="6"/>
      <c r="C3" s="6"/>
      <c r="D3" s="7"/>
      <c r="E3" s="7"/>
      <c r="F3" s="41"/>
      <c r="G3" s="593"/>
      <c r="H3" s="593"/>
      <c r="I3" s="43"/>
      <c r="J3" s="6"/>
      <c r="K3" s="6"/>
      <c r="L3" s="6"/>
      <c r="M3" s="6"/>
      <c r="N3" s="6"/>
      <c r="O3" s="6"/>
      <c r="P3" s="6"/>
      <c r="Q3" s="6"/>
      <c r="R3" s="6"/>
      <c r="S3" s="6"/>
      <c r="T3" s="6"/>
      <c r="U3" s="6"/>
      <c r="V3" s="6"/>
      <c r="W3" s="6" t="str">
        <f>'Study Information'!$B$11</f>
        <v>No</v>
      </c>
      <c r="X3" s="6"/>
      <c r="Y3" s="6"/>
      <c r="Z3" s="6"/>
      <c r="AA3" s="6"/>
      <c r="AB3" s="6"/>
    </row>
    <row r="4" spans="1:28" ht="18" customHeight="1" x14ac:dyDescent="0.25">
      <c r="A4" s="6"/>
      <c r="B4" s="6"/>
      <c r="C4" s="6"/>
      <c r="D4" s="7"/>
      <c r="E4" s="7"/>
      <c r="F4" s="41"/>
      <c r="G4" s="593"/>
      <c r="H4" s="593"/>
      <c r="I4" s="43"/>
      <c r="J4" s="6"/>
      <c r="K4" s="6"/>
      <c r="L4" s="6"/>
      <c r="M4" s="6"/>
      <c r="N4" s="6"/>
      <c r="O4" s="6"/>
      <c r="P4" s="6"/>
      <c r="Q4" s="6"/>
      <c r="R4" s="6"/>
      <c r="S4" s="6"/>
      <c r="T4" s="6"/>
      <c r="U4" s="6"/>
      <c r="V4" s="6"/>
      <c r="W4" s="6"/>
      <c r="X4" s="6"/>
      <c r="Y4" s="6"/>
      <c r="Z4" s="6"/>
      <c r="AA4" s="6"/>
      <c r="AB4" s="6"/>
    </row>
    <row r="5" spans="1:28" ht="18" customHeight="1" x14ac:dyDescent="0.25">
      <c r="A5" s="12"/>
      <c r="B5" s="12"/>
      <c r="C5" s="12"/>
      <c r="D5" s="13"/>
      <c r="E5" s="13"/>
      <c r="F5" s="12"/>
      <c r="G5" s="593"/>
      <c r="H5" s="593"/>
      <c r="I5" s="43"/>
      <c r="J5" s="12"/>
      <c r="K5" s="12"/>
      <c r="L5" s="6"/>
      <c r="M5" s="6"/>
      <c r="N5" s="6"/>
      <c r="O5" s="6"/>
      <c r="P5" s="6"/>
      <c r="Q5" s="6"/>
      <c r="R5" s="6"/>
      <c r="S5" s="6"/>
      <c r="T5" s="6"/>
      <c r="U5" s="6"/>
      <c r="V5" s="6"/>
      <c r="W5" s="6"/>
      <c r="X5" s="6"/>
      <c r="Y5" s="6"/>
      <c r="Z5" s="6"/>
      <c r="AA5" s="6"/>
      <c r="AB5" s="6"/>
    </row>
    <row r="6" spans="1:28" ht="18" customHeight="1" x14ac:dyDescent="0.25">
      <c r="A6" s="12"/>
      <c r="B6" s="12"/>
      <c r="C6" s="12"/>
      <c r="D6" s="13"/>
      <c r="E6" s="13"/>
      <c r="F6" s="12"/>
      <c r="G6" s="593"/>
      <c r="H6" s="593"/>
      <c r="I6" s="43"/>
      <c r="J6" s="12"/>
      <c r="K6" s="12"/>
      <c r="L6" s="6"/>
      <c r="M6" s="6"/>
      <c r="N6" s="6"/>
      <c r="O6" s="6"/>
      <c r="P6" s="6"/>
      <c r="Q6" s="6"/>
      <c r="R6" s="6"/>
      <c r="S6" s="6"/>
      <c r="T6" s="6"/>
      <c r="U6" s="6"/>
      <c r="V6" s="6"/>
      <c r="W6" s="6"/>
      <c r="X6" s="6"/>
      <c r="Y6" s="6"/>
      <c r="Z6" s="6"/>
      <c r="AA6" s="6"/>
      <c r="AB6" s="6"/>
    </row>
    <row r="7" spans="1:28" ht="47.25" customHeight="1" x14ac:dyDescent="0.25">
      <c r="A7" s="12"/>
      <c r="B7" s="12"/>
      <c r="C7" s="12"/>
      <c r="D7" s="13"/>
      <c r="E7" s="13"/>
      <c r="F7" s="12"/>
      <c r="G7" s="593"/>
      <c r="H7" s="593"/>
      <c r="I7" s="43"/>
      <c r="K7" s="12"/>
      <c r="L7" s="6"/>
      <c r="M7" s="6"/>
      <c r="N7" s="6"/>
      <c r="O7" s="6"/>
      <c r="P7" s="6"/>
      <c r="Q7" s="6"/>
      <c r="R7" s="6"/>
      <c r="S7" s="6"/>
      <c r="T7" s="6"/>
      <c r="U7" s="6"/>
      <c r="V7" s="6"/>
      <c r="W7" s="6"/>
      <c r="X7" s="6"/>
      <c r="Y7" s="6"/>
      <c r="Z7" s="6"/>
      <c r="AA7" s="6"/>
      <c r="AB7" s="6"/>
    </row>
    <row r="8" spans="1:28" s="75" customFormat="1" ht="18" customHeight="1" x14ac:dyDescent="0.2">
      <c r="A8" s="62" t="s">
        <v>174</v>
      </c>
      <c r="B8" s="76">
        <f>IRAS_REF</f>
        <v>281958</v>
      </c>
      <c r="C8" s="77"/>
      <c r="D8" s="13"/>
      <c r="E8" s="13"/>
      <c r="F8" s="154" t="str">
        <f>IF(W3=0,"Please complete Q3 in the 'Study Information' tab before completing column E onwards","")</f>
        <v/>
      </c>
      <c r="G8" s="13"/>
      <c r="H8" s="13"/>
      <c r="I8" s="13"/>
      <c r="J8" s="78"/>
      <c r="K8" s="79"/>
      <c r="L8" s="80"/>
      <c r="M8" s="80"/>
      <c r="N8" s="80"/>
      <c r="O8" s="80"/>
      <c r="P8" s="80"/>
      <c r="Q8" s="80"/>
      <c r="R8" s="80"/>
      <c r="S8" s="80"/>
      <c r="T8" s="80"/>
      <c r="U8" s="80"/>
      <c r="V8" s="80"/>
      <c r="W8" s="80"/>
      <c r="X8" s="80"/>
      <c r="Y8" s="80"/>
      <c r="Z8" s="80"/>
      <c r="AA8" s="80"/>
      <c r="AB8" s="80"/>
    </row>
    <row r="9" spans="1:28" s="75" customFormat="1" ht="18" customHeight="1" x14ac:dyDescent="0.2">
      <c r="A9" s="80"/>
      <c r="B9" s="12"/>
      <c r="C9" s="12"/>
      <c r="D9" s="13"/>
      <c r="E9" s="13"/>
      <c r="F9" s="12"/>
      <c r="G9" s="42"/>
      <c r="H9" s="13"/>
      <c r="I9" s="13"/>
      <c r="J9" s="16"/>
      <c r="K9" s="16"/>
      <c r="L9" s="80"/>
      <c r="M9" s="80"/>
      <c r="N9" s="80"/>
      <c r="O9" s="80"/>
      <c r="P9" s="80"/>
      <c r="Q9" s="80"/>
      <c r="R9" s="80"/>
      <c r="S9" s="80"/>
      <c r="T9" s="80"/>
      <c r="U9" s="80"/>
      <c r="V9" s="80"/>
      <c r="W9" s="80"/>
      <c r="X9" s="80"/>
      <c r="Y9" s="80"/>
      <c r="Z9" s="80"/>
      <c r="AA9" s="80"/>
      <c r="AB9" s="80"/>
    </row>
    <row r="10" spans="1:28" s="75" customFormat="1" ht="75" x14ac:dyDescent="0.25">
      <c r="A10" s="139" t="s">
        <v>513</v>
      </c>
      <c r="B10" s="140" t="s">
        <v>518</v>
      </c>
      <c r="C10" s="558" t="s">
        <v>515</v>
      </c>
      <c r="D10" s="213" t="s">
        <v>674</v>
      </c>
      <c r="E10" s="539" t="s">
        <v>675</v>
      </c>
      <c r="F10" s="467" t="s">
        <v>233</v>
      </c>
      <c r="G10" s="467" t="s">
        <v>234</v>
      </c>
      <c r="H10" s="468" t="s">
        <v>236</v>
      </c>
      <c r="I10" s="467" t="s">
        <v>237</v>
      </c>
      <c r="J10" s="81" t="s">
        <v>188</v>
      </c>
      <c r="K10" s="81" t="s">
        <v>147</v>
      </c>
      <c r="L10" s="81" t="s">
        <v>148</v>
      </c>
      <c r="M10" s="164" t="s">
        <v>346</v>
      </c>
      <c r="N10" s="81" t="s">
        <v>149</v>
      </c>
      <c r="O10" s="81" t="s">
        <v>150</v>
      </c>
      <c r="P10" s="221" t="s">
        <v>229</v>
      </c>
      <c r="Q10" s="80"/>
      <c r="R10" s="80"/>
      <c r="S10" s="80"/>
      <c r="T10" s="80"/>
      <c r="U10" s="80"/>
      <c r="V10" s="80"/>
      <c r="W10" s="80"/>
      <c r="X10" s="80"/>
      <c r="Y10" s="80"/>
      <c r="Z10" s="80"/>
      <c r="AA10" s="80"/>
      <c r="AB10" s="80"/>
    </row>
    <row r="11" spans="1:28" s="75" customFormat="1" ht="30.75" customHeight="1" x14ac:dyDescent="0.2">
      <c r="A11" s="141"/>
      <c r="B11" s="141"/>
      <c r="C11" s="142" t="s">
        <v>230</v>
      </c>
      <c r="D11" s="542"/>
      <c r="E11" s="543"/>
      <c r="F11" s="143"/>
      <c r="G11" s="143"/>
      <c r="H11" s="143"/>
      <c r="I11" s="143"/>
      <c r="J11" s="144"/>
      <c r="K11" s="144"/>
      <c r="L11" s="145"/>
      <c r="M11" s="165"/>
      <c r="N11" s="145"/>
      <c r="O11" s="145"/>
      <c r="P11" s="83"/>
      <c r="Q11" s="146"/>
      <c r="R11" s="146"/>
      <c r="S11" s="146"/>
      <c r="T11" s="146"/>
      <c r="U11" s="146"/>
      <c r="V11" s="146"/>
      <c r="W11" s="146"/>
      <c r="X11" s="146"/>
      <c r="Y11" s="146"/>
      <c r="Z11" s="146"/>
      <c r="AA11" s="146"/>
      <c r="AB11" s="146"/>
    </row>
    <row r="12" spans="1:28" s="75" customFormat="1" x14ac:dyDescent="0.25">
      <c r="A12" s="147"/>
      <c r="B12" s="147"/>
      <c r="C12" s="148"/>
      <c r="D12" s="540"/>
      <c r="E12" s="538"/>
      <c r="F12" s="474"/>
      <c r="G12" s="474"/>
      <c r="H12" s="474"/>
      <c r="I12" s="474"/>
      <c r="J12" s="149" t="e">
        <f>IF(INDEX(TARIFF_TABLE[#All], MATCH($B12,TARIFF_TABLE[[#All],[Activity]],0),MATCH("ActivityType",TARIFF_TABLE[#Headers]))="Investigation",INDEX(TARIFF_TABLE[#All], MATCH($B12,TARIFF_TABLE[[#All],[Activity]],0),MATCH("Cost",TARIFF_TABLE[#Headers],0)),INDEX(Staff_Costs[#All],MATCH(D12,Staff_Costs[[#All],[Role]],0),MATCH("Per-minute cost",Staff_Costs[#Headers],0))*C12)</f>
        <v>#N/A</v>
      </c>
      <c r="K12" s="149" t="e">
        <f t="shared" ref="K12:O21" si="0">COUNTIF($F12:$I12, K$10)*$J12</f>
        <v>#N/A</v>
      </c>
      <c r="L12" s="149" t="e">
        <f t="shared" si="0"/>
        <v>#N/A</v>
      </c>
      <c r="M12" s="149" t="e">
        <f t="shared" ref="M12:M42" si="1">COUNTIF($F12:$I12, M$10)*$J12</f>
        <v>#N/A</v>
      </c>
      <c r="N12" s="149" t="e">
        <f t="shared" si="0"/>
        <v>#N/A</v>
      </c>
      <c r="O12" s="149" t="e">
        <f t="shared" si="0"/>
        <v>#N/A</v>
      </c>
      <c r="P12" s="150" t="e">
        <f t="shared" ref="P12:P59" si="2">INDEX(Tariff_Activity_Type,MATCH(B12,Tariff_Activity,0))</f>
        <v>#N/A</v>
      </c>
      <c r="Q12" s="80"/>
      <c r="S12" s="80"/>
      <c r="T12" s="80"/>
      <c r="U12" s="80"/>
      <c r="V12" s="80"/>
      <c r="W12" s="80"/>
      <c r="X12" s="80"/>
      <c r="Y12" s="80"/>
      <c r="Z12" s="80"/>
      <c r="AA12" s="80"/>
      <c r="AB12" s="80"/>
    </row>
    <row r="13" spans="1:28" s="75" customFormat="1" x14ac:dyDescent="0.25">
      <c r="A13" s="147" t="s">
        <v>508</v>
      </c>
      <c r="B13" s="147" t="s">
        <v>140</v>
      </c>
      <c r="C13" s="148">
        <v>5</v>
      </c>
      <c r="D13" s="540" t="s">
        <v>670</v>
      </c>
      <c r="E13" s="538"/>
      <c r="F13" s="474" t="s">
        <v>149</v>
      </c>
      <c r="G13" s="474"/>
      <c r="H13" s="474"/>
      <c r="I13" s="474"/>
      <c r="J13" s="149">
        <f>IF(INDEX(TARIFF_TABLE[#All], MATCH($B13,TARIFF_TABLE[[#All],[Activity]],0),MATCH("ActivityType",TARIFF_TABLE[#Headers]))="Investigation",INDEX(TARIFF_TABLE[#All], MATCH($B13,TARIFF_TABLE[[#All],[Activity]],0),MATCH("Cost",TARIFF_TABLE[#Headers],0)),INDEX(Staff_Costs[#All],MATCH(D13,Staff_Costs[[#All],[Role]],0),MATCH("Per-minute cost",Staff_Costs[#Headers],0))*C13)</f>
        <v>7.35</v>
      </c>
      <c r="K13" s="149">
        <f t="shared" si="0"/>
        <v>0</v>
      </c>
      <c r="L13" s="149">
        <f t="shared" si="0"/>
        <v>0</v>
      </c>
      <c r="M13" s="166">
        <f t="shared" si="1"/>
        <v>0</v>
      </c>
      <c r="N13" s="149">
        <f t="shared" si="0"/>
        <v>7.35</v>
      </c>
      <c r="O13" s="149">
        <f t="shared" si="0"/>
        <v>0</v>
      </c>
      <c r="P13" s="150" t="str">
        <f t="shared" si="2"/>
        <v>Procedure</v>
      </c>
      <c r="Q13" s="80"/>
      <c r="R13" s="80"/>
      <c r="S13" s="80"/>
      <c r="T13" s="80"/>
      <c r="U13" s="80"/>
      <c r="V13" s="80"/>
      <c r="W13" s="80"/>
      <c r="X13" s="80"/>
      <c r="Y13" s="80"/>
      <c r="Z13" s="80"/>
      <c r="AA13" s="80"/>
      <c r="AB13" s="80"/>
    </row>
    <row r="14" spans="1:28" s="75" customFormat="1" x14ac:dyDescent="0.25">
      <c r="A14" s="147" t="s">
        <v>161</v>
      </c>
      <c r="B14" s="147" t="s">
        <v>345</v>
      </c>
      <c r="C14" s="148"/>
      <c r="D14" s="540"/>
      <c r="E14" s="538"/>
      <c r="F14" s="474"/>
      <c r="G14" s="474"/>
      <c r="H14" s="474"/>
      <c r="I14" s="474"/>
      <c r="J14" s="149">
        <f>IF(INDEX(TARIFF_TABLE[#All], MATCH($B14,TARIFF_TABLE[[#All],[Activity]],0),MATCH("ActivityType",TARIFF_TABLE[#Headers]))="Investigation",INDEX(TARIFF_TABLE[#All], MATCH($B14,TARIFF_TABLE[[#All],[Activity]],0),MATCH("Cost",TARIFF_TABLE[#Headers],0)),INDEX(Staff_Costs[#All],MATCH(D14,Staff_Costs[[#All],[Role]],0),MATCH("Per-minute cost",Staff_Costs[#Headers],0))*C14)</f>
        <v>500</v>
      </c>
      <c r="K14" s="149">
        <f t="shared" si="0"/>
        <v>0</v>
      </c>
      <c r="L14" s="149">
        <f t="shared" si="0"/>
        <v>0</v>
      </c>
      <c r="M14" s="166">
        <f t="shared" si="1"/>
        <v>0</v>
      </c>
      <c r="N14" s="149">
        <f t="shared" si="0"/>
        <v>0</v>
      </c>
      <c r="O14" s="149">
        <f t="shared" si="0"/>
        <v>0</v>
      </c>
      <c r="P14" s="150" t="str">
        <f t="shared" si="2"/>
        <v>Investigation</v>
      </c>
      <c r="Q14" s="80"/>
      <c r="R14" s="80"/>
      <c r="S14" s="80"/>
      <c r="T14" s="80"/>
      <c r="U14" s="80"/>
      <c r="V14" s="80"/>
      <c r="W14" s="80"/>
      <c r="X14" s="80"/>
      <c r="Y14" s="80"/>
      <c r="Z14" s="80"/>
      <c r="AA14" s="80"/>
      <c r="AB14" s="80"/>
    </row>
    <row r="15" spans="1:28" s="75" customFormat="1" x14ac:dyDescent="0.25">
      <c r="A15" s="147"/>
      <c r="B15" s="147"/>
      <c r="C15" s="148"/>
      <c r="D15" s="540"/>
      <c r="E15" s="538"/>
      <c r="F15" s="474"/>
      <c r="G15" s="474"/>
      <c r="H15" s="474"/>
      <c r="I15" s="474"/>
      <c r="J15" s="149" t="e">
        <f>IF(INDEX(TARIFF_TABLE[#All], MATCH($B15,TARIFF_TABLE[[#All],[Activity]],0),MATCH("ActivityType",TARIFF_TABLE[#Headers]))="Investigation",INDEX(TARIFF_TABLE[#All], MATCH($B15,TARIFF_TABLE[[#All],[Activity]],0),MATCH("Cost",TARIFF_TABLE[#Headers],0)),INDEX(Staff_Costs[#All],MATCH(D15,Staff_Costs[[#All],[Role]],0),MATCH("Per-minute cost",Staff_Costs[#Headers],0))*C15)</f>
        <v>#N/A</v>
      </c>
      <c r="K15" s="149" t="e">
        <f t="shared" si="0"/>
        <v>#N/A</v>
      </c>
      <c r="L15" s="149" t="e">
        <f t="shared" si="0"/>
        <v>#N/A</v>
      </c>
      <c r="M15" s="166" t="e">
        <f t="shared" si="1"/>
        <v>#N/A</v>
      </c>
      <c r="N15" s="149" t="e">
        <f t="shared" si="0"/>
        <v>#N/A</v>
      </c>
      <c r="O15" s="149" t="e">
        <f t="shared" si="0"/>
        <v>#N/A</v>
      </c>
      <c r="P15" s="150" t="e">
        <f t="shared" si="2"/>
        <v>#N/A</v>
      </c>
      <c r="Q15" s="80"/>
      <c r="R15" s="80"/>
      <c r="S15" s="80"/>
      <c r="T15" s="80"/>
      <c r="U15" s="80"/>
      <c r="V15" s="80"/>
      <c r="W15" s="80"/>
      <c r="X15" s="80"/>
      <c r="Y15" s="80"/>
      <c r="Z15" s="80"/>
      <c r="AA15" s="80"/>
      <c r="AB15" s="80"/>
    </row>
    <row r="16" spans="1:28" s="75" customFormat="1" x14ac:dyDescent="0.25">
      <c r="A16" s="147"/>
      <c r="B16" s="147"/>
      <c r="C16" s="148"/>
      <c r="D16" s="540"/>
      <c r="E16" s="538"/>
      <c r="F16" s="474"/>
      <c r="G16" s="474"/>
      <c r="H16" s="474"/>
      <c r="I16" s="474"/>
      <c r="J16" s="149" t="e">
        <f>IF(INDEX(TARIFF_TABLE[#All], MATCH($B16,TARIFF_TABLE[[#All],[Activity]],0),MATCH("ActivityType",TARIFF_TABLE[#Headers]))="Investigation",INDEX(TARIFF_TABLE[#All], MATCH($B16,TARIFF_TABLE[[#All],[Activity]],0),MATCH("Cost",TARIFF_TABLE[#Headers],0)),INDEX(Staff_Costs[#All],MATCH(D16,Staff_Costs[[#All],[Role]],0),MATCH("Per-minute cost",Staff_Costs[#Headers],0))*C16)</f>
        <v>#N/A</v>
      </c>
      <c r="K16" s="149" t="e">
        <f t="shared" si="0"/>
        <v>#N/A</v>
      </c>
      <c r="L16" s="149" t="e">
        <f t="shared" si="0"/>
        <v>#N/A</v>
      </c>
      <c r="M16" s="166" t="e">
        <f t="shared" si="1"/>
        <v>#N/A</v>
      </c>
      <c r="N16" s="149" t="e">
        <f t="shared" si="0"/>
        <v>#N/A</v>
      </c>
      <c r="O16" s="149" t="e">
        <f t="shared" si="0"/>
        <v>#N/A</v>
      </c>
      <c r="P16" s="150" t="e">
        <f t="shared" si="2"/>
        <v>#N/A</v>
      </c>
      <c r="Q16" s="80"/>
      <c r="R16" s="80"/>
      <c r="S16" s="80"/>
      <c r="T16" s="80"/>
      <c r="U16" s="80"/>
      <c r="V16" s="80"/>
      <c r="W16" s="80"/>
      <c r="X16" s="80"/>
      <c r="Y16" s="80"/>
      <c r="Z16" s="80"/>
      <c r="AA16" s="80"/>
      <c r="AB16" s="80"/>
    </row>
    <row r="17" spans="1:28" s="75" customFormat="1" x14ac:dyDescent="0.25">
      <c r="A17" s="147"/>
      <c r="B17" s="147"/>
      <c r="C17" s="148"/>
      <c r="D17" s="540"/>
      <c r="E17" s="538"/>
      <c r="F17" s="474"/>
      <c r="G17" s="474"/>
      <c r="H17" s="474"/>
      <c r="I17" s="474"/>
      <c r="J17" s="149" t="e">
        <f>IF(INDEX(TARIFF_TABLE[#All], MATCH($B17,TARIFF_TABLE[[#All],[Activity]],0),MATCH("ActivityType",TARIFF_TABLE[#Headers]))="Investigation",INDEX(TARIFF_TABLE[#All], MATCH($B17,TARIFF_TABLE[[#All],[Activity]],0),MATCH("Cost",TARIFF_TABLE[#Headers],0)),INDEX(Staff_Costs[#All],MATCH(D17,Staff_Costs[[#All],[Role]],0),MATCH("Per-minute cost",Staff_Costs[#Headers],0))*C17)</f>
        <v>#N/A</v>
      </c>
      <c r="K17" s="149" t="e">
        <f t="shared" si="0"/>
        <v>#N/A</v>
      </c>
      <c r="L17" s="149" t="e">
        <f t="shared" si="0"/>
        <v>#N/A</v>
      </c>
      <c r="M17" s="166" t="e">
        <f t="shared" si="1"/>
        <v>#N/A</v>
      </c>
      <c r="N17" s="149" t="e">
        <f t="shared" si="0"/>
        <v>#N/A</v>
      </c>
      <c r="O17" s="149" t="e">
        <f t="shared" si="0"/>
        <v>#N/A</v>
      </c>
      <c r="P17" s="150" t="e">
        <f t="shared" si="2"/>
        <v>#N/A</v>
      </c>
      <c r="Q17" s="80"/>
      <c r="R17" s="80"/>
      <c r="S17" s="80"/>
      <c r="T17" s="80"/>
      <c r="U17" s="80"/>
      <c r="V17" s="80"/>
      <c r="W17" s="80"/>
      <c r="X17" s="80"/>
      <c r="Y17" s="80"/>
      <c r="Z17" s="80"/>
      <c r="AA17" s="80"/>
      <c r="AB17" s="80"/>
    </row>
    <row r="18" spans="1:28" s="75" customFormat="1" x14ac:dyDescent="0.25">
      <c r="A18" s="147"/>
      <c r="B18" s="147"/>
      <c r="C18" s="148"/>
      <c r="D18" s="540"/>
      <c r="E18" s="538"/>
      <c r="F18" s="474"/>
      <c r="G18" s="474"/>
      <c r="H18" s="474"/>
      <c r="I18" s="474"/>
      <c r="J18" s="149" t="e">
        <f>IF(INDEX(TARIFF_TABLE[#All], MATCH($B18,TARIFF_TABLE[[#All],[Activity]],0),MATCH("ActivityType",TARIFF_TABLE[#Headers]))="Investigation",INDEX(TARIFF_TABLE[#All], MATCH($B18,TARIFF_TABLE[[#All],[Activity]],0),MATCH("Cost",TARIFF_TABLE[#Headers],0)),INDEX(Staff_Costs[#All],MATCH(D18,Staff_Costs[[#All],[Role]],0),MATCH("Per-minute cost",Staff_Costs[#Headers],0))*C18)</f>
        <v>#N/A</v>
      </c>
      <c r="K18" s="149" t="e">
        <f t="shared" si="0"/>
        <v>#N/A</v>
      </c>
      <c r="L18" s="149" t="e">
        <f t="shared" si="0"/>
        <v>#N/A</v>
      </c>
      <c r="M18" s="166" t="e">
        <f t="shared" si="1"/>
        <v>#N/A</v>
      </c>
      <c r="N18" s="149" t="e">
        <f t="shared" si="0"/>
        <v>#N/A</v>
      </c>
      <c r="O18" s="149" t="e">
        <f t="shared" si="0"/>
        <v>#N/A</v>
      </c>
      <c r="P18" s="150" t="e">
        <f t="shared" si="2"/>
        <v>#N/A</v>
      </c>
      <c r="Q18" s="80"/>
      <c r="R18" s="80"/>
      <c r="S18" s="80"/>
      <c r="T18" s="80"/>
      <c r="U18" s="80"/>
      <c r="V18" s="80"/>
      <c r="W18" s="80"/>
      <c r="X18" s="80"/>
      <c r="Y18" s="80"/>
      <c r="Z18" s="80"/>
      <c r="AA18" s="80"/>
      <c r="AB18" s="80"/>
    </row>
    <row r="19" spans="1:28" s="75" customFormat="1" x14ac:dyDescent="0.25">
      <c r="A19" s="147"/>
      <c r="B19" s="147"/>
      <c r="C19" s="148"/>
      <c r="D19" s="540"/>
      <c r="E19" s="538"/>
      <c r="F19" s="474"/>
      <c r="G19" s="474"/>
      <c r="H19" s="474"/>
      <c r="I19" s="474"/>
      <c r="J19" s="149" t="e">
        <f>IF(INDEX(TARIFF_TABLE[#All], MATCH($B19,TARIFF_TABLE[[#All],[Activity]],0),MATCH("ActivityType",TARIFF_TABLE[#Headers]))="Investigation",INDEX(TARIFF_TABLE[#All], MATCH($B19,TARIFF_TABLE[[#All],[Activity]],0),MATCH("Cost",TARIFF_TABLE[#Headers],0)),INDEX(Staff_Costs[#All],MATCH(D19,Staff_Costs[[#All],[Role]],0),MATCH("Per-minute cost",Staff_Costs[#Headers],0))*C19)</f>
        <v>#N/A</v>
      </c>
      <c r="K19" s="149" t="e">
        <f t="shared" si="0"/>
        <v>#N/A</v>
      </c>
      <c r="L19" s="149" t="e">
        <f t="shared" si="0"/>
        <v>#N/A</v>
      </c>
      <c r="M19" s="166" t="e">
        <f t="shared" si="1"/>
        <v>#N/A</v>
      </c>
      <c r="N19" s="149" t="e">
        <f t="shared" si="0"/>
        <v>#N/A</v>
      </c>
      <c r="O19" s="149" t="e">
        <f t="shared" si="0"/>
        <v>#N/A</v>
      </c>
      <c r="P19" s="150" t="e">
        <f t="shared" si="2"/>
        <v>#N/A</v>
      </c>
      <c r="Q19" s="80"/>
      <c r="R19" s="80"/>
      <c r="S19" s="80"/>
      <c r="T19" s="80"/>
      <c r="U19" s="80"/>
      <c r="V19" s="80"/>
      <c r="W19" s="80"/>
      <c r="X19" s="80"/>
      <c r="Y19" s="80"/>
      <c r="Z19" s="80"/>
      <c r="AA19" s="80"/>
      <c r="AB19" s="80"/>
    </row>
    <row r="20" spans="1:28" s="75" customFormat="1" x14ac:dyDescent="0.25">
      <c r="A20" s="147"/>
      <c r="B20" s="147"/>
      <c r="C20" s="148"/>
      <c r="D20" s="540"/>
      <c r="E20" s="538"/>
      <c r="F20" s="474"/>
      <c r="G20" s="474"/>
      <c r="H20" s="474"/>
      <c r="I20" s="474"/>
      <c r="J20" s="149" t="e">
        <f>IF(INDEX(TARIFF_TABLE[#All], MATCH($B20,TARIFF_TABLE[[#All],[Activity]],0),MATCH("ActivityType",TARIFF_TABLE[#Headers]))="Investigation",INDEX(TARIFF_TABLE[#All], MATCH($B20,TARIFF_TABLE[[#All],[Activity]],0),MATCH("Cost",TARIFF_TABLE[#Headers],0)),INDEX(Staff_Costs[#All],MATCH(D20,Staff_Costs[[#All],[Role]],0),MATCH("Per-minute cost",Staff_Costs[#Headers],0))*C20)</f>
        <v>#N/A</v>
      </c>
      <c r="K20" s="149" t="e">
        <f t="shared" si="0"/>
        <v>#N/A</v>
      </c>
      <c r="L20" s="149" t="e">
        <f t="shared" si="0"/>
        <v>#N/A</v>
      </c>
      <c r="M20" s="166" t="e">
        <f t="shared" si="1"/>
        <v>#N/A</v>
      </c>
      <c r="N20" s="149" t="e">
        <f t="shared" si="0"/>
        <v>#N/A</v>
      </c>
      <c r="O20" s="149" t="e">
        <f t="shared" si="0"/>
        <v>#N/A</v>
      </c>
      <c r="P20" s="150" t="e">
        <f t="shared" si="2"/>
        <v>#N/A</v>
      </c>
      <c r="Q20" s="80"/>
      <c r="R20" s="80"/>
      <c r="S20" s="80"/>
      <c r="T20" s="80"/>
      <c r="U20" s="80"/>
      <c r="V20" s="80"/>
      <c r="W20" s="80"/>
      <c r="X20" s="80"/>
      <c r="Y20" s="80"/>
      <c r="Z20" s="80"/>
      <c r="AA20" s="80"/>
      <c r="AB20" s="80"/>
    </row>
    <row r="21" spans="1:28" s="75" customFormat="1" x14ac:dyDescent="0.25">
      <c r="A21" s="147"/>
      <c r="B21" s="147"/>
      <c r="C21" s="148"/>
      <c r="D21" s="540"/>
      <c r="E21" s="538"/>
      <c r="F21" s="474"/>
      <c r="G21" s="474"/>
      <c r="H21" s="474"/>
      <c r="I21" s="474"/>
      <c r="J21" s="149" t="e">
        <f>IF(INDEX(TARIFF_TABLE[#All], MATCH($B21,TARIFF_TABLE[[#All],[Activity]],0),MATCH("ActivityType",TARIFF_TABLE[#Headers]))="Investigation",INDEX(TARIFF_TABLE[#All], MATCH($B21,TARIFF_TABLE[[#All],[Activity]],0),MATCH("Cost",TARIFF_TABLE[#Headers],0)),INDEX(Staff_Costs[#All],MATCH(D21,Staff_Costs[[#All],[Role]],0),MATCH("Per-minute cost",Staff_Costs[#Headers],0))*C21)</f>
        <v>#N/A</v>
      </c>
      <c r="K21" s="149" t="e">
        <f t="shared" si="0"/>
        <v>#N/A</v>
      </c>
      <c r="L21" s="149" t="e">
        <f t="shared" si="0"/>
        <v>#N/A</v>
      </c>
      <c r="M21" s="166" t="e">
        <f t="shared" si="1"/>
        <v>#N/A</v>
      </c>
      <c r="N21" s="149" t="e">
        <f t="shared" si="0"/>
        <v>#N/A</v>
      </c>
      <c r="O21" s="149" t="e">
        <f t="shared" si="0"/>
        <v>#N/A</v>
      </c>
      <c r="P21" s="150" t="e">
        <f t="shared" si="2"/>
        <v>#N/A</v>
      </c>
      <c r="Q21" s="80"/>
      <c r="R21" s="80"/>
      <c r="S21" s="80"/>
      <c r="T21" s="80"/>
      <c r="U21" s="80"/>
      <c r="V21" s="80"/>
      <c r="W21" s="80"/>
      <c r="X21" s="80"/>
      <c r="Y21" s="80"/>
      <c r="Z21" s="80"/>
      <c r="AA21" s="80"/>
      <c r="AB21" s="80"/>
    </row>
    <row r="22" spans="1:28" s="75" customFormat="1" x14ac:dyDescent="0.25">
      <c r="A22" s="147"/>
      <c r="B22" s="147"/>
      <c r="C22" s="148"/>
      <c r="D22" s="540"/>
      <c r="E22" s="538"/>
      <c r="F22" s="474"/>
      <c r="G22" s="474"/>
      <c r="H22" s="474"/>
      <c r="I22" s="474"/>
      <c r="J22" s="149" t="e">
        <f>IF(INDEX(TARIFF_TABLE[#All], MATCH($B22,TARIFF_TABLE[[#All],[Activity]],0),MATCH("ActivityType",TARIFF_TABLE[#Headers]))="Investigation",INDEX(TARIFF_TABLE[#All], MATCH($B22,TARIFF_TABLE[[#All],[Activity]],0),MATCH("Cost",TARIFF_TABLE[#Headers],0)),INDEX(Staff_Costs[#All],MATCH(D22,Staff_Costs[[#All],[Role]],0),MATCH("Per-minute cost",Staff_Costs[#Headers],0))*C22)</f>
        <v>#N/A</v>
      </c>
      <c r="K22" s="149" t="e">
        <f t="shared" ref="K22:O31" si="3">COUNTIF($F22:$I22, K$10)*$J22</f>
        <v>#N/A</v>
      </c>
      <c r="L22" s="149" t="e">
        <f t="shared" si="3"/>
        <v>#N/A</v>
      </c>
      <c r="M22" s="166" t="e">
        <f t="shared" si="1"/>
        <v>#N/A</v>
      </c>
      <c r="N22" s="149" t="e">
        <f t="shared" si="3"/>
        <v>#N/A</v>
      </c>
      <c r="O22" s="149" t="e">
        <f t="shared" si="3"/>
        <v>#N/A</v>
      </c>
      <c r="P22" s="150" t="e">
        <f t="shared" si="2"/>
        <v>#N/A</v>
      </c>
      <c r="Q22" s="80"/>
      <c r="R22" s="80"/>
      <c r="S22" s="80"/>
      <c r="T22" s="80"/>
      <c r="U22" s="80"/>
      <c r="V22" s="80"/>
      <c r="W22" s="80"/>
      <c r="X22" s="80"/>
      <c r="Y22" s="80"/>
      <c r="Z22" s="80"/>
      <c r="AA22" s="80"/>
      <c r="AB22" s="80"/>
    </row>
    <row r="23" spans="1:28" s="75" customFormat="1" x14ac:dyDescent="0.25">
      <c r="A23" s="147"/>
      <c r="B23" s="147"/>
      <c r="C23" s="148"/>
      <c r="D23" s="540"/>
      <c r="E23" s="538"/>
      <c r="F23" s="474"/>
      <c r="G23" s="474"/>
      <c r="H23" s="474"/>
      <c r="I23" s="474"/>
      <c r="J23" s="149" t="e">
        <f>IF(INDEX(TARIFF_TABLE[#All], MATCH($B23,TARIFF_TABLE[[#All],[Activity]],0),MATCH("ActivityType",TARIFF_TABLE[#Headers]))="Investigation",INDEX(TARIFF_TABLE[#All], MATCH($B23,TARIFF_TABLE[[#All],[Activity]],0),MATCH("Cost",TARIFF_TABLE[#Headers],0)),INDEX(Staff_Costs[#All],MATCH(D23,Staff_Costs[[#All],[Role]],0),MATCH("Per-minute cost",Staff_Costs[#Headers],0))*C23)</f>
        <v>#N/A</v>
      </c>
      <c r="K23" s="149" t="e">
        <f t="shared" si="3"/>
        <v>#N/A</v>
      </c>
      <c r="L23" s="149" t="e">
        <f t="shared" si="3"/>
        <v>#N/A</v>
      </c>
      <c r="M23" s="166" t="e">
        <f t="shared" si="1"/>
        <v>#N/A</v>
      </c>
      <c r="N23" s="149" t="e">
        <f t="shared" si="3"/>
        <v>#N/A</v>
      </c>
      <c r="O23" s="149" t="e">
        <f t="shared" si="3"/>
        <v>#N/A</v>
      </c>
      <c r="P23" s="150" t="e">
        <f t="shared" si="2"/>
        <v>#N/A</v>
      </c>
      <c r="Q23" s="80"/>
      <c r="R23" s="80"/>
      <c r="S23" s="80"/>
      <c r="T23" s="80"/>
      <c r="U23" s="80"/>
      <c r="V23" s="80"/>
      <c r="W23" s="80"/>
      <c r="X23" s="80"/>
      <c r="Y23" s="80"/>
      <c r="Z23" s="80"/>
      <c r="AA23" s="80"/>
      <c r="AB23" s="80"/>
    </row>
    <row r="24" spans="1:28" s="75" customFormat="1" x14ac:dyDescent="0.25">
      <c r="A24" s="147"/>
      <c r="B24" s="147"/>
      <c r="C24" s="148"/>
      <c r="D24" s="540"/>
      <c r="E24" s="538"/>
      <c r="F24" s="474"/>
      <c r="G24" s="474"/>
      <c r="H24" s="474"/>
      <c r="I24" s="474"/>
      <c r="J24" s="149" t="e">
        <f>IF(INDEX(TARIFF_TABLE[#All], MATCH($B24,TARIFF_TABLE[[#All],[Activity]],0),MATCH("ActivityType",TARIFF_TABLE[#Headers]))="Investigation",INDEX(TARIFF_TABLE[#All], MATCH($B24,TARIFF_TABLE[[#All],[Activity]],0),MATCH("Cost",TARIFF_TABLE[#Headers],0)),INDEX(Staff_Costs[#All],MATCH(D24,Staff_Costs[[#All],[Role]],0),MATCH("Per-minute cost",Staff_Costs[#Headers],0))*C24)</f>
        <v>#N/A</v>
      </c>
      <c r="K24" s="149" t="e">
        <f t="shared" si="3"/>
        <v>#N/A</v>
      </c>
      <c r="L24" s="149" t="e">
        <f t="shared" si="3"/>
        <v>#N/A</v>
      </c>
      <c r="M24" s="166" t="e">
        <f t="shared" si="1"/>
        <v>#N/A</v>
      </c>
      <c r="N24" s="149" t="e">
        <f t="shared" si="3"/>
        <v>#N/A</v>
      </c>
      <c r="O24" s="149" t="e">
        <f t="shared" si="3"/>
        <v>#N/A</v>
      </c>
      <c r="P24" s="150" t="e">
        <f t="shared" si="2"/>
        <v>#N/A</v>
      </c>
      <c r="Q24" s="80"/>
      <c r="R24" s="80"/>
      <c r="S24" s="80"/>
      <c r="T24" s="80"/>
      <c r="U24" s="80"/>
      <c r="V24" s="80"/>
      <c r="W24" s="80"/>
      <c r="X24" s="80"/>
      <c r="Y24" s="80"/>
      <c r="Z24" s="80"/>
      <c r="AA24" s="80"/>
      <c r="AB24" s="80"/>
    </row>
    <row r="25" spans="1:28" s="75" customFormat="1" x14ac:dyDescent="0.25">
      <c r="A25" s="147"/>
      <c r="B25" s="147"/>
      <c r="C25" s="148"/>
      <c r="D25" s="540"/>
      <c r="E25" s="538"/>
      <c r="F25" s="474"/>
      <c r="G25" s="474"/>
      <c r="H25" s="474"/>
      <c r="I25" s="474"/>
      <c r="J25" s="149" t="e">
        <f>IF(INDEX(TARIFF_TABLE[#All], MATCH($B25,TARIFF_TABLE[[#All],[Activity]],0),MATCH("ActivityType",TARIFF_TABLE[#Headers]))="Investigation",INDEX(TARIFF_TABLE[#All], MATCH($B25,TARIFF_TABLE[[#All],[Activity]],0),MATCH("Cost",TARIFF_TABLE[#Headers],0)),INDEX(Staff_Costs[#All],MATCH(D25,Staff_Costs[[#All],[Role]],0),MATCH("Per-minute cost",Staff_Costs[#Headers],0))*C25)</f>
        <v>#N/A</v>
      </c>
      <c r="K25" s="149" t="e">
        <f t="shared" si="3"/>
        <v>#N/A</v>
      </c>
      <c r="L25" s="149" t="e">
        <f t="shared" si="3"/>
        <v>#N/A</v>
      </c>
      <c r="M25" s="166" t="e">
        <f t="shared" si="1"/>
        <v>#N/A</v>
      </c>
      <c r="N25" s="149" t="e">
        <f t="shared" si="3"/>
        <v>#N/A</v>
      </c>
      <c r="O25" s="149" t="e">
        <f t="shared" si="3"/>
        <v>#N/A</v>
      </c>
      <c r="P25" s="150" t="e">
        <f t="shared" si="2"/>
        <v>#N/A</v>
      </c>
      <c r="Q25" s="80"/>
      <c r="R25" s="80"/>
      <c r="S25" s="80"/>
      <c r="T25" s="80"/>
      <c r="U25" s="80"/>
      <c r="V25" s="80"/>
      <c r="W25" s="80"/>
      <c r="X25" s="80"/>
      <c r="Y25" s="80"/>
      <c r="Z25" s="80"/>
      <c r="AA25" s="80"/>
      <c r="AB25" s="80"/>
    </row>
    <row r="26" spans="1:28" s="75" customFormat="1" x14ac:dyDescent="0.25">
      <c r="A26" s="147"/>
      <c r="B26" s="147"/>
      <c r="C26" s="148"/>
      <c r="D26" s="540"/>
      <c r="E26" s="538"/>
      <c r="F26" s="474"/>
      <c r="G26" s="474"/>
      <c r="H26" s="474"/>
      <c r="I26" s="474"/>
      <c r="J26" s="149" t="e">
        <f>IF(INDEX(TARIFF_TABLE[#All], MATCH($B26,TARIFF_TABLE[[#All],[Activity]],0),MATCH("ActivityType",TARIFF_TABLE[#Headers]))="Investigation",INDEX(TARIFF_TABLE[#All], MATCH($B26,TARIFF_TABLE[[#All],[Activity]],0),MATCH("Cost",TARIFF_TABLE[#Headers],0)),INDEX(Staff_Costs[#All],MATCH(D26,Staff_Costs[[#All],[Role]],0),MATCH("Per-minute cost",Staff_Costs[#Headers],0))*C26)</f>
        <v>#N/A</v>
      </c>
      <c r="K26" s="149" t="e">
        <f t="shared" si="3"/>
        <v>#N/A</v>
      </c>
      <c r="L26" s="149" t="e">
        <f t="shared" si="3"/>
        <v>#N/A</v>
      </c>
      <c r="M26" s="166" t="e">
        <f t="shared" si="1"/>
        <v>#N/A</v>
      </c>
      <c r="N26" s="149" t="e">
        <f t="shared" si="3"/>
        <v>#N/A</v>
      </c>
      <c r="O26" s="149" t="e">
        <f t="shared" si="3"/>
        <v>#N/A</v>
      </c>
      <c r="P26" s="150" t="e">
        <f t="shared" si="2"/>
        <v>#N/A</v>
      </c>
      <c r="Q26" s="80"/>
      <c r="R26" s="80"/>
      <c r="S26" s="80"/>
      <c r="T26" s="80"/>
      <c r="U26" s="80"/>
      <c r="V26" s="80"/>
      <c r="W26" s="80"/>
      <c r="X26" s="80"/>
      <c r="Y26" s="80"/>
      <c r="Z26" s="80"/>
      <c r="AA26" s="80"/>
      <c r="AB26" s="80"/>
    </row>
    <row r="27" spans="1:28" s="75" customFormat="1" x14ac:dyDescent="0.25">
      <c r="A27" s="147"/>
      <c r="B27" s="147"/>
      <c r="C27" s="148"/>
      <c r="D27" s="540"/>
      <c r="E27" s="538"/>
      <c r="F27" s="474"/>
      <c r="G27" s="474"/>
      <c r="H27" s="474"/>
      <c r="I27" s="474"/>
      <c r="J27" s="149" t="e">
        <f>IF(INDEX(TARIFF_TABLE[#All], MATCH($B27,TARIFF_TABLE[[#All],[Activity]],0),MATCH("ActivityType",TARIFF_TABLE[#Headers]))="Investigation",INDEX(TARIFF_TABLE[#All], MATCH($B27,TARIFF_TABLE[[#All],[Activity]],0),MATCH("Cost",TARIFF_TABLE[#Headers],0)),INDEX(Staff_Costs[#All],MATCH(D27,Staff_Costs[[#All],[Role]],0),MATCH("Per-minute cost",Staff_Costs[#Headers],0))*C27)</f>
        <v>#N/A</v>
      </c>
      <c r="K27" s="149" t="e">
        <f t="shared" si="3"/>
        <v>#N/A</v>
      </c>
      <c r="L27" s="149" t="e">
        <f t="shared" si="3"/>
        <v>#N/A</v>
      </c>
      <c r="M27" s="166" t="e">
        <f t="shared" si="1"/>
        <v>#N/A</v>
      </c>
      <c r="N27" s="149" t="e">
        <f t="shared" si="3"/>
        <v>#N/A</v>
      </c>
      <c r="O27" s="149" t="e">
        <f t="shared" si="3"/>
        <v>#N/A</v>
      </c>
      <c r="P27" s="150" t="e">
        <f t="shared" si="2"/>
        <v>#N/A</v>
      </c>
      <c r="Q27" s="80"/>
      <c r="R27" s="80"/>
      <c r="S27" s="80"/>
      <c r="T27" s="80"/>
      <c r="U27" s="80"/>
      <c r="V27" s="80"/>
      <c r="W27" s="80"/>
      <c r="X27" s="80"/>
      <c r="Y27" s="80"/>
      <c r="Z27" s="80"/>
      <c r="AA27" s="80"/>
      <c r="AB27" s="80"/>
    </row>
    <row r="28" spans="1:28" s="75" customFormat="1" x14ac:dyDescent="0.25">
      <c r="A28" s="147"/>
      <c r="B28" s="147"/>
      <c r="C28" s="148"/>
      <c r="D28" s="540"/>
      <c r="E28" s="538"/>
      <c r="F28" s="474"/>
      <c r="G28" s="474"/>
      <c r="H28" s="474"/>
      <c r="I28" s="474"/>
      <c r="J28" s="149" t="e">
        <f>IF(INDEX(TARIFF_TABLE[#All], MATCH($B28,TARIFF_TABLE[[#All],[Activity]],0),MATCH("ActivityType",TARIFF_TABLE[#Headers]))="Investigation",INDEX(TARIFF_TABLE[#All], MATCH($B28,TARIFF_TABLE[[#All],[Activity]],0),MATCH("Cost",TARIFF_TABLE[#Headers],0)),INDEX(Staff_Costs[#All],MATCH(D28,Staff_Costs[[#All],[Role]],0),MATCH("Per-minute cost",Staff_Costs[#Headers],0))*C28)</f>
        <v>#N/A</v>
      </c>
      <c r="K28" s="149" t="e">
        <f t="shared" si="3"/>
        <v>#N/A</v>
      </c>
      <c r="L28" s="149" t="e">
        <f t="shared" si="3"/>
        <v>#N/A</v>
      </c>
      <c r="M28" s="166" t="e">
        <f t="shared" si="1"/>
        <v>#N/A</v>
      </c>
      <c r="N28" s="149" t="e">
        <f t="shared" si="3"/>
        <v>#N/A</v>
      </c>
      <c r="O28" s="149" t="e">
        <f t="shared" si="3"/>
        <v>#N/A</v>
      </c>
      <c r="P28" s="150" t="e">
        <f t="shared" si="2"/>
        <v>#N/A</v>
      </c>
      <c r="Q28" s="80"/>
      <c r="R28" s="80"/>
      <c r="S28" s="80"/>
      <c r="T28" s="80"/>
      <c r="U28" s="80"/>
      <c r="V28" s="80"/>
      <c r="W28" s="80"/>
      <c r="X28" s="80"/>
      <c r="Y28" s="80"/>
      <c r="Z28" s="80"/>
      <c r="AA28" s="80"/>
      <c r="AB28" s="80"/>
    </row>
    <row r="29" spans="1:28" s="75" customFormat="1" x14ac:dyDescent="0.25">
      <c r="A29" s="147"/>
      <c r="B29" s="147"/>
      <c r="C29" s="148"/>
      <c r="D29" s="540"/>
      <c r="E29" s="538"/>
      <c r="F29" s="474"/>
      <c r="G29" s="474"/>
      <c r="H29" s="474"/>
      <c r="I29" s="474"/>
      <c r="J29" s="149" t="e">
        <f>IF(INDEX(TARIFF_TABLE[#All], MATCH($B29,TARIFF_TABLE[[#All],[Activity]],0),MATCH("ActivityType",TARIFF_TABLE[#Headers]))="Investigation",INDEX(TARIFF_TABLE[#All], MATCH($B29,TARIFF_TABLE[[#All],[Activity]],0),MATCH("Cost",TARIFF_TABLE[#Headers],0)),INDEX(Staff_Costs[#All],MATCH(D29,Staff_Costs[[#All],[Role]],0),MATCH("Per-minute cost",Staff_Costs[#Headers],0))*C29)</f>
        <v>#N/A</v>
      </c>
      <c r="K29" s="149" t="e">
        <f t="shared" si="3"/>
        <v>#N/A</v>
      </c>
      <c r="L29" s="149" t="e">
        <f t="shared" si="3"/>
        <v>#N/A</v>
      </c>
      <c r="M29" s="166" t="e">
        <f t="shared" si="1"/>
        <v>#N/A</v>
      </c>
      <c r="N29" s="149" t="e">
        <f t="shared" si="3"/>
        <v>#N/A</v>
      </c>
      <c r="O29" s="149" t="e">
        <f t="shared" si="3"/>
        <v>#N/A</v>
      </c>
      <c r="P29" s="150" t="e">
        <f t="shared" si="2"/>
        <v>#N/A</v>
      </c>
      <c r="Q29" s="80"/>
      <c r="R29" s="80"/>
      <c r="S29" s="80"/>
      <c r="T29" s="80"/>
      <c r="U29" s="80"/>
      <c r="V29" s="80"/>
      <c r="W29" s="80"/>
      <c r="X29" s="80"/>
      <c r="Y29" s="80"/>
      <c r="Z29" s="80"/>
      <c r="AA29" s="80"/>
      <c r="AB29" s="80"/>
    </row>
    <row r="30" spans="1:28" s="75" customFormat="1" x14ac:dyDescent="0.25">
      <c r="A30" s="147"/>
      <c r="B30" s="147"/>
      <c r="C30" s="148"/>
      <c r="D30" s="540"/>
      <c r="E30" s="538"/>
      <c r="F30" s="474"/>
      <c r="G30" s="474"/>
      <c r="H30" s="474"/>
      <c r="I30" s="474"/>
      <c r="J30" s="149" t="e">
        <f>IF(INDEX(TARIFF_TABLE[#All], MATCH($B30,TARIFF_TABLE[[#All],[Activity]],0),MATCH("ActivityType",TARIFF_TABLE[#Headers]))="Investigation",INDEX(TARIFF_TABLE[#All], MATCH($B30,TARIFF_TABLE[[#All],[Activity]],0),MATCH("Cost",TARIFF_TABLE[#Headers],0)),INDEX(Staff_Costs[#All],MATCH(D30,Staff_Costs[[#All],[Role]],0),MATCH("Per-minute cost",Staff_Costs[#Headers],0))*C30)</f>
        <v>#N/A</v>
      </c>
      <c r="K30" s="149" t="e">
        <f t="shared" si="3"/>
        <v>#N/A</v>
      </c>
      <c r="L30" s="149" t="e">
        <f t="shared" si="3"/>
        <v>#N/A</v>
      </c>
      <c r="M30" s="166" t="e">
        <f t="shared" si="1"/>
        <v>#N/A</v>
      </c>
      <c r="N30" s="149" t="e">
        <f t="shared" si="3"/>
        <v>#N/A</v>
      </c>
      <c r="O30" s="149" t="e">
        <f t="shared" si="3"/>
        <v>#N/A</v>
      </c>
      <c r="P30" s="150" t="e">
        <f t="shared" si="2"/>
        <v>#N/A</v>
      </c>
      <c r="Q30" s="80"/>
      <c r="R30" s="80"/>
      <c r="S30" s="80"/>
      <c r="T30" s="80"/>
      <c r="U30" s="80"/>
      <c r="V30" s="80"/>
      <c r="W30" s="80"/>
      <c r="X30" s="80"/>
      <c r="Y30" s="80"/>
      <c r="Z30" s="80"/>
      <c r="AA30" s="80"/>
      <c r="AB30" s="80"/>
    </row>
    <row r="31" spans="1:28" s="75" customFormat="1" x14ac:dyDescent="0.25">
      <c r="A31" s="147"/>
      <c r="B31" s="147"/>
      <c r="C31" s="148"/>
      <c r="D31" s="540"/>
      <c r="E31" s="538"/>
      <c r="F31" s="474"/>
      <c r="G31" s="474"/>
      <c r="H31" s="474"/>
      <c r="I31" s="474"/>
      <c r="J31" s="149" t="e">
        <f>IF(INDEX(TARIFF_TABLE[#All], MATCH($B31,TARIFF_TABLE[[#All],[Activity]],0),MATCH("ActivityType",TARIFF_TABLE[#Headers]))="Investigation",INDEX(TARIFF_TABLE[#All], MATCH($B31,TARIFF_TABLE[[#All],[Activity]],0),MATCH("Cost",TARIFF_TABLE[#Headers],0)),INDEX(Staff_Costs[#All],MATCH(D31,Staff_Costs[[#All],[Role]],0),MATCH("Per-minute cost",Staff_Costs[#Headers],0))*C31)</f>
        <v>#N/A</v>
      </c>
      <c r="K31" s="149" t="e">
        <f t="shared" si="3"/>
        <v>#N/A</v>
      </c>
      <c r="L31" s="149" t="e">
        <f t="shared" si="3"/>
        <v>#N/A</v>
      </c>
      <c r="M31" s="166" t="e">
        <f t="shared" si="1"/>
        <v>#N/A</v>
      </c>
      <c r="N31" s="149" t="e">
        <f t="shared" si="3"/>
        <v>#N/A</v>
      </c>
      <c r="O31" s="149" t="e">
        <f t="shared" si="3"/>
        <v>#N/A</v>
      </c>
      <c r="P31" s="150" t="e">
        <f t="shared" si="2"/>
        <v>#N/A</v>
      </c>
      <c r="Q31" s="80"/>
      <c r="R31" s="80"/>
      <c r="S31" s="80"/>
      <c r="T31" s="80"/>
      <c r="U31" s="80"/>
      <c r="V31" s="80"/>
      <c r="W31" s="80"/>
      <c r="X31" s="80"/>
      <c r="Y31" s="80"/>
      <c r="Z31" s="80"/>
      <c r="AA31" s="80"/>
      <c r="AB31" s="80"/>
    </row>
    <row r="32" spans="1:28" s="75" customFormat="1" x14ac:dyDescent="0.25">
      <c r="A32" s="147"/>
      <c r="B32" s="147"/>
      <c r="C32" s="148"/>
      <c r="D32" s="540"/>
      <c r="E32" s="538"/>
      <c r="F32" s="474"/>
      <c r="G32" s="474"/>
      <c r="H32" s="474"/>
      <c r="I32" s="474"/>
      <c r="J32" s="149" t="e">
        <f>IF(INDEX(TARIFF_TABLE[#All], MATCH($B32,TARIFF_TABLE[[#All],[Activity]],0),MATCH("ActivityType",TARIFF_TABLE[#Headers]))="Investigation",INDEX(TARIFF_TABLE[#All], MATCH($B32,TARIFF_TABLE[[#All],[Activity]],0),MATCH("Cost",TARIFF_TABLE[#Headers],0)),INDEX(Staff_Costs[#All],MATCH(D32,Staff_Costs[[#All],[Role]],0),MATCH("Per-minute cost",Staff_Costs[#Headers],0))*C32)</f>
        <v>#N/A</v>
      </c>
      <c r="K32" s="149" t="e">
        <f t="shared" ref="K32:O41" si="4">COUNTIF($F32:$I32, K$10)*$J32</f>
        <v>#N/A</v>
      </c>
      <c r="L32" s="149" t="e">
        <f t="shared" si="4"/>
        <v>#N/A</v>
      </c>
      <c r="M32" s="166" t="e">
        <f t="shared" si="1"/>
        <v>#N/A</v>
      </c>
      <c r="N32" s="149" t="e">
        <f t="shared" si="4"/>
        <v>#N/A</v>
      </c>
      <c r="O32" s="149" t="e">
        <f t="shared" si="4"/>
        <v>#N/A</v>
      </c>
      <c r="P32" s="150" t="e">
        <f t="shared" si="2"/>
        <v>#N/A</v>
      </c>
      <c r="Q32" s="80"/>
      <c r="R32" s="80"/>
      <c r="S32" s="80"/>
      <c r="T32" s="80"/>
      <c r="U32" s="80"/>
      <c r="V32" s="80"/>
      <c r="W32" s="80"/>
      <c r="X32" s="80"/>
      <c r="Y32" s="80"/>
      <c r="Z32" s="80"/>
      <c r="AA32" s="80"/>
      <c r="AB32" s="80"/>
    </row>
    <row r="33" spans="1:28" s="75" customFormat="1" x14ac:dyDescent="0.25">
      <c r="A33" s="147"/>
      <c r="B33" s="147"/>
      <c r="C33" s="148"/>
      <c r="D33" s="540"/>
      <c r="E33" s="538"/>
      <c r="F33" s="474"/>
      <c r="G33" s="474"/>
      <c r="H33" s="474"/>
      <c r="I33" s="474"/>
      <c r="J33" s="149" t="e">
        <f>IF(INDEX(TARIFF_TABLE[#All], MATCH($B33,TARIFF_TABLE[[#All],[Activity]],0),MATCH("ActivityType",TARIFF_TABLE[#Headers]))="Investigation",INDEX(TARIFF_TABLE[#All], MATCH($B33,TARIFF_TABLE[[#All],[Activity]],0),MATCH("Cost",TARIFF_TABLE[#Headers],0)),INDEX(Staff_Costs[#All],MATCH(D33,Staff_Costs[[#All],[Role]],0),MATCH("Per-minute cost",Staff_Costs[#Headers],0))*C33)</f>
        <v>#N/A</v>
      </c>
      <c r="K33" s="149" t="e">
        <f t="shared" si="4"/>
        <v>#N/A</v>
      </c>
      <c r="L33" s="149" t="e">
        <f t="shared" si="4"/>
        <v>#N/A</v>
      </c>
      <c r="M33" s="166" t="e">
        <f t="shared" si="1"/>
        <v>#N/A</v>
      </c>
      <c r="N33" s="149" t="e">
        <f t="shared" si="4"/>
        <v>#N/A</v>
      </c>
      <c r="O33" s="149" t="e">
        <f t="shared" si="4"/>
        <v>#N/A</v>
      </c>
      <c r="P33" s="150" t="e">
        <f t="shared" si="2"/>
        <v>#N/A</v>
      </c>
      <c r="Q33" s="80"/>
      <c r="R33" s="80"/>
      <c r="S33" s="80"/>
      <c r="T33" s="80"/>
      <c r="U33" s="80"/>
      <c r="V33" s="80"/>
      <c r="W33" s="80"/>
      <c r="X33" s="80"/>
      <c r="Y33" s="80"/>
      <c r="Z33" s="80"/>
      <c r="AA33" s="80"/>
      <c r="AB33" s="80"/>
    </row>
    <row r="34" spans="1:28" s="75" customFormat="1" x14ac:dyDescent="0.25">
      <c r="A34" s="147"/>
      <c r="B34" s="147"/>
      <c r="C34" s="148"/>
      <c r="D34" s="540"/>
      <c r="E34" s="538"/>
      <c r="F34" s="474"/>
      <c r="G34" s="474"/>
      <c r="H34" s="474"/>
      <c r="I34" s="474"/>
      <c r="J34" s="149" t="e">
        <f>IF(INDEX(TARIFF_TABLE[#All], MATCH($B34,TARIFF_TABLE[[#All],[Activity]],0),MATCH("ActivityType",TARIFF_TABLE[#Headers]))="Investigation",INDEX(TARIFF_TABLE[#All], MATCH($B34,TARIFF_TABLE[[#All],[Activity]],0),MATCH("Cost",TARIFF_TABLE[#Headers],0)),INDEX(Staff_Costs[#All],MATCH(D34,Staff_Costs[[#All],[Role]],0),MATCH("Per-minute cost",Staff_Costs[#Headers],0))*C34)</f>
        <v>#N/A</v>
      </c>
      <c r="K34" s="149" t="e">
        <f t="shared" si="4"/>
        <v>#N/A</v>
      </c>
      <c r="L34" s="149" t="e">
        <f t="shared" si="4"/>
        <v>#N/A</v>
      </c>
      <c r="M34" s="166" t="e">
        <f t="shared" si="1"/>
        <v>#N/A</v>
      </c>
      <c r="N34" s="149" t="e">
        <f t="shared" si="4"/>
        <v>#N/A</v>
      </c>
      <c r="O34" s="149" t="e">
        <f t="shared" si="4"/>
        <v>#N/A</v>
      </c>
      <c r="P34" s="150" t="e">
        <f t="shared" si="2"/>
        <v>#N/A</v>
      </c>
      <c r="Q34" s="80"/>
      <c r="R34" s="80"/>
      <c r="S34" s="80"/>
      <c r="T34" s="80"/>
      <c r="U34" s="80"/>
      <c r="V34" s="80"/>
      <c r="W34" s="80"/>
      <c r="X34" s="80"/>
      <c r="Y34" s="80"/>
      <c r="Z34" s="80"/>
      <c r="AA34" s="80"/>
      <c r="AB34" s="80"/>
    </row>
    <row r="35" spans="1:28" s="75" customFormat="1" x14ac:dyDescent="0.25">
      <c r="A35" s="147"/>
      <c r="B35" s="147"/>
      <c r="C35" s="148"/>
      <c r="D35" s="540"/>
      <c r="E35" s="538"/>
      <c r="F35" s="474"/>
      <c r="G35" s="474"/>
      <c r="H35" s="474"/>
      <c r="I35" s="474"/>
      <c r="J35" s="149" t="e">
        <f>IF(INDEX(TARIFF_TABLE[#All], MATCH($B35,TARIFF_TABLE[[#All],[Activity]],0),MATCH("ActivityType",TARIFF_TABLE[#Headers]))="Investigation",INDEX(TARIFF_TABLE[#All], MATCH($B35,TARIFF_TABLE[[#All],[Activity]],0),MATCH("Cost",TARIFF_TABLE[#Headers],0)),INDEX(Staff_Costs[#All],MATCH(D35,Staff_Costs[[#All],[Role]],0),MATCH("Per-minute cost",Staff_Costs[#Headers],0))*C35)</f>
        <v>#N/A</v>
      </c>
      <c r="K35" s="149" t="e">
        <f t="shared" si="4"/>
        <v>#N/A</v>
      </c>
      <c r="L35" s="149" t="e">
        <f t="shared" si="4"/>
        <v>#N/A</v>
      </c>
      <c r="M35" s="166" t="e">
        <f t="shared" si="1"/>
        <v>#N/A</v>
      </c>
      <c r="N35" s="149" t="e">
        <f t="shared" si="4"/>
        <v>#N/A</v>
      </c>
      <c r="O35" s="149" t="e">
        <f t="shared" si="4"/>
        <v>#N/A</v>
      </c>
      <c r="P35" s="150" t="e">
        <f t="shared" si="2"/>
        <v>#N/A</v>
      </c>
      <c r="Q35" s="80"/>
      <c r="R35" s="80"/>
      <c r="S35" s="80"/>
      <c r="T35" s="80"/>
      <c r="U35" s="80"/>
      <c r="V35" s="80"/>
      <c r="W35" s="80"/>
      <c r="X35" s="80"/>
      <c r="Y35" s="80"/>
      <c r="Z35" s="80"/>
      <c r="AA35" s="80"/>
      <c r="AB35" s="80"/>
    </row>
    <row r="36" spans="1:28" s="75" customFormat="1" x14ac:dyDescent="0.25">
      <c r="A36" s="147"/>
      <c r="B36" s="147"/>
      <c r="C36" s="148"/>
      <c r="D36" s="540"/>
      <c r="E36" s="538"/>
      <c r="F36" s="474"/>
      <c r="G36" s="474"/>
      <c r="H36" s="474"/>
      <c r="I36" s="474"/>
      <c r="J36" s="149" t="e">
        <f>IF(INDEX(TARIFF_TABLE[#All], MATCH($B36,TARIFF_TABLE[[#All],[Activity]],0),MATCH("ActivityType",TARIFF_TABLE[#Headers]))="Investigation",INDEX(TARIFF_TABLE[#All], MATCH($B36,TARIFF_TABLE[[#All],[Activity]],0),MATCH("Cost",TARIFF_TABLE[#Headers],0)),INDEX(Staff_Costs[#All],MATCH(D36,Staff_Costs[[#All],[Role]],0),MATCH("Per-minute cost",Staff_Costs[#Headers],0))*C36)</f>
        <v>#N/A</v>
      </c>
      <c r="K36" s="149" t="e">
        <f t="shared" si="4"/>
        <v>#N/A</v>
      </c>
      <c r="L36" s="149" t="e">
        <f t="shared" si="4"/>
        <v>#N/A</v>
      </c>
      <c r="M36" s="166" t="e">
        <f t="shared" si="1"/>
        <v>#N/A</v>
      </c>
      <c r="N36" s="149" t="e">
        <f t="shared" si="4"/>
        <v>#N/A</v>
      </c>
      <c r="O36" s="149" t="e">
        <f t="shared" si="4"/>
        <v>#N/A</v>
      </c>
      <c r="P36" s="150" t="e">
        <f t="shared" si="2"/>
        <v>#N/A</v>
      </c>
      <c r="Q36" s="80"/>
      <c r="R36" s="80"/>
      <c r="S36" s="80"/>
      <c r="T36" s="80"/>
      <c r="U36" s="80"/>
      <c r="V36" s="80"/>
      <c r="W36" s="80"/>
      <c r="X36" s="80"/>
      <c r="Y36" s="80"/>
      <c r="Z36" s="80"/>
      <c r="AA36" s="80"/>
      <c r="AB36" s="80"/>
    </row>
    <row r="37" spans="1:28" s="75" customFormat="1" x14ac:dyDescent="0.25">
      <c r="A37" s="147"/>
      <c r="B37" s="147"/>
      <c r="C37" s="148"/>
      <c r="D37" s="540"/>
      <c r="E37" s="538"/>
      <c r="F37" s="474"/>
      <c r="G37" s="474"/>
      <c r="H37" s="474"/>
      <c r="I37" s="474"/>
      <c r="J37" s="149" t="e">
        <f>IF(INDEX(TARIFF_TABLE[#All], MATCH($B37,TARIFF_TABLE[[#All],[Activity]],0),MATCH("ActivityType",TARIFF_TABLE[#Headers]))="Investigation",INDEX(TARIFF_TABLE[#All], MATCH($B37,TARIFF_TABLE[[#All],[Activity]],0),MATCH("Cost",TARIFF_TABLE[#Headers],0)),INDEX(Staff_Costs[#All],MATCH(D37,Staff_Costs[[#All],[Role]],0),MATCH("Per-minute cost",Staff_Costs[#Headers],0))*C37)</f>
        <v>#N/A</v>
      </c>
      <c r="K37" s="149" t="e">
        <f t="shared" si="4"/>
        <v>#N/A</v>
      </c>
      <c r="L37" s="149" t="e">
        <f t="shared" si="4"/>
        <v>#N/A</v>
      </c>
      <c r="M37" s="166" t="e">
        <f t="shared" si="1"/>
        <v>#N/A</v>
      </c>
      <c r="N37" s="149" t="e">
        <f t="shared" si="4"/>
        <v>#N/A</v>
      </c>
      <c r="O37" s="149" t="e">
        <f t="shared" si="4"/>
        <v>#N/A</v>
      </c>
      <c r="P37" s="150" t="e">
        <f t="shared" si="2"/>
        <v>#N/A</v>
      </c>
      <c r="Q37" s="80"/>
      <c r="R37" s="80"/>
      <c r="S37" s="80"/>
      <c r="T37" s="80"/>
      <c r="U37" s="80"/>
      <c r="V37" s="80"/>
      <c r="W37" s="80"/>
      <c r="X37" s="80"/>
      <c r="Y37" s="80"/>
      <c r="Z37" s="80"/>
      <c r="AA37" s="80"/>
      <c r="AB37" s="80"/>
    </row>
    <row r="38" spans="1:28" s="75" customFormat="1" x14ac:dyDescent="0.25">
      <c r="A38" s="147"/>
      <c r="B38" s="147"/>
      <c r="C38" s="148"/>
      <c r="D38" s="540"/>
      <c r="E38" s="538"/>
      <c r="F38" s="474"/>
      <c r="G38" s="474"/>
      <c r="H38" s="474"/>
      <c r="I38" s="474"/>
      <c r="J38" s="149" t="e">
        <f>IF(INDEX(TARIFF_TABLE[#All], MATCH($B38,TARIFF_TABLE[[#All],[Activity]],0),MATCH("ActivityType",TARIFF_TABLE[#Headers]))="Investigation",INDEX(TARIFF_TABLE[#All], MATCH($B38,TARIFF_TABLE[[#All],[Activity]],0),MATCH("Cost",TARIFF_TABLE[#Headers],0)),INDEX(Staff_Costs[#All],MATCH(D38,Staff_Costs[[#All],[Role]],0),MATCH("Per-minute cost",Staff_Costs[#Headers],0))*C38)</f>
        <v>#N/A</v>
      </c>
      <c r="K38" s="149" t="e">
        <f t="shared" si="4"/>
        <v>#N/A</v>
      </c>
      <c r="L38" s="149" t="e">
        <f t="shared" si="4"/>
        <v>#N/A</v>
      </c>
      <c r="M38" s="166" t="e">
        <f t="shared" si="1"/>
        <v>#N/A</v>
      </c>
      <c r="N38" s="149" t="e">
        <f t="shared" si="4"/>
        <v>#N/A</v>
      </c>
      <c r="O38" s="149" t="e">
        <f t="shared" si="4"/>
        <v>#N/A</v>
      </c>
      <c r="P38" s="150" t="e">
        <f t="shared" si="2"/>
        <v>#N/A</v>
      </c>
      <c r="Q38" s="80"/>
      <c r="R38" s="80"/>
      <c r="S38" s="80"/>
      <c r="T38" s="80"/>
      <c r="U38" s="80"/>
      <c r="V38" s="80"/>
      <c r="W38" s="80"/>
      <c r="X38" s="80"/>
      <c r="Y38" s="80"/>
      <c r="Z38" s="80"/>
      <c r="AA38" s="80"/>
      <c r="AB38" s="80"/>
    </row>
    <row r="39" spans="1:28" s="75" customFormat="1" x14ac:dyDescent="0.25">
      <c r="A39" s="147"/>
      <c r="B39" s="147"/>
      <c r="C39" s="148"/>
      <c r="D39" s="540"/>
      <c r="E39" s="538"/>
      <c r="F39" s="474"/>
      <c r="G39" s="474"/>
      <c r="H39" s="474"/>
      <c r="I39" s="474"/>
      <c r="J39" s="149" t="e">
        <f>IF(INDEX(TARIFF_TABLE[#All], MATCH($B39,TARIFF_TABLE[[#All],[Activity]],0),MATCH("ActivityType",TARIFF_TABLE[#Headers]))="Investigation",INDEX(TARIFF_TABLE[#All], MATCH($B39,TARIFF_TABLE[[#All],[Activity]],0),MATCH("Cost",TARIFF_TABLE[#Headers],0)),INDEX(Staff_Costs[#All],MATCH(D39,Staff_Costs[[#All],[Role]],0),MATCH("Per-minute cost",Staff_Costs[#Headers],0))*C39)</f>
        <v>#N/A</v>
      </c>
      <c r="K39" s="149" t="e">
        <f t="shared" si="4"/>
        <v>#N/A</v>
      </c>
      <c r="L39" s="149" t="e">
        <f t="shared" si="4"/>
        <v>#N/A</v>
      </c>
      <c r="M39" s="166" t="e">
        <f t="shared" si="1"/>
        <v>#N/A</v>
      </c>
      <c r="N39" s="149" t="e">
        <f t="shared" si="4"/>
        <v>#N/A</v>
      </c>
      <c r="O39" s="149" t="e">
        <f t="shared" si="4"/>
        <v>#N/A</v>
      </c>
      <c r="P39" s="150" t="e">
        <f t="shared" si="2"/>
        <v>#N/A</v>
      </c>
      <c r="Q39" s="80"/>
      <c r="R39" s="80"/>
      <c r="S39" s="80"/>
      <c r="T39" s="80"/>
      <c r="U39" s="80"/>
      <c r="V39" s="80"/>
      <c r="W39" s="80"/>
      <c r="X39" s="80"/>
      <c r="Y39" s="80"/>
      <c r="Z39" s="80"/>
      <c r="AA39" s="80"/>
      <c r="AB39" s="80"/>
    </row>
    <row r="40" spans="1:28" s="75" customFormat="1" x14ac:dyDescent="0.25">
      <c r="A40" s="147"/>
      <c r="B40" s="147"/>
      <c r="C40" s="148"/>
      <c r="D40" s="540"/>
      <c r="E40" s="538"/>
      <c r="F40" s="474"/>
      <c r="G40" s="474"/>
      <c r="H40" s="474"/>
      <c r="I40" s="474"/>
      <c r="J40" s="149" t="e">
        <f>IF(INDEX(TARIFF_TABLE[#All], MATCH($B40,TARIFF_TABLE[[#All],[Activity]],0),MATCH("ActivityType",TARIFF_TABLE[#Headers]))="Investigation",INDEX(TARIFF_TABLE[#All], MATCH($B40,TARIFF_TABLE[[#All],[Activity]],0),MATCH("Cost",TARIFF_TABLE[#Headers],0)),INDEX(Staff_Costs[#All],MATCH(D40,Staff_Costs[[#All],[Role]],0),MATCH("Per-minute cost",Staff_Costs[#Headers],0))*C40)</f>
        <v>#N/A</v>
      </c>
      <c r="K40" s="149" t="e">
        <f t="shared" si="4"/>
        <v>#N/A</v>
      </c>
      <c r="L40" s="149" t="e">
        <f t="shared" si="4"/>
        <v>#N/A</v>
      </c>
      <c r="M40" s="166" t="e">
        <f t="shared" si="1"/>
        <v>#N/A</v>
      </c>
      <c r="N40" s="149" t="e">
        <f t="shared" si="4"/>
        <v>#N/A</v>
      </c>
      <c r="O40" s="149" t="e">
        <f t="shared" si="4"/>
        <v>#N/A</v>
      </c>
      <c r="P40" s="150" t="e">
        <f t="shared" si="2"/>
        <v>#N/A</v>
      </c>
      <c r="Q40" s="80"/>
      <c r="R40" s="80"/>
      <c r="S40" s="80"/>
      <c r="T40" s="80"/>
      <c r="U40" s="80"/>
      <c r="V40" s="80"/>
      <c r="W40" s="80"/>
      <c r="X40" s="80"/>
      <c r="Y40" s="80"/>
      <c r="Z40" s="80"/>
      <c r="AA40" s="80"/>
      <c r="AB40" s="80"/>
    </row>
    <row r="41" spans="1:28" s="75" customFormat="1" x14ac:dyDescent="0.25">
      <c r="A41" s="147"/>
      <c r="B41" s="147"/>
      <c r="C41" s="148"/>
      <c r="D41" s="540"/>
      <c r="E41" s="538"/>
      <c r="F41" s="474"/>
      <c r="G41" s="474"/>
      <c r="H41" s="474"/>
      <c r="I41" s="474"/>
      <c r="J41" s="149" t="e">
        <f>IF(INDEX(TARIFF_TABLE[#All], MATCH($B41,TARIFF_TABLE[[#All],[Activity]],0),MATCH("ActivityType",TARIFF_TABLE[#Headers]))="Investigation",INDEX(TARIFF_TABLE[#All], MATCH($B41,TARIFF_TABLE[[#All],[Activity]],0),MATCH("Cost",TARIFF_TABLE[#Headers],0)),INDEX(Staff_Costs[#All],MATCH(D41,Staff_Costs[[#All],[Role]],0),MATCH("Per-minute cost",Staff_Costs[#Headers],0))*C41)</f>
        <v>#N/A</v>
      </c>
      <c r="K41" s="149" t="e">
        <f t="shared" si="4"/>
        <v>#N/A</v>
      </c>
      <c r="L41" s="149" t="e">
        <f t="shared" si="4"/>
        <v>#N/A</v>
      </c>
      <c r="M41" s="166" t="e">
        <f t="shared" si="1"/>
        <v>#N/A</v>
      </c>
      <c r="N41" s="149" t="e">
        <f t="shared" si="4"/>
        <v>#N/A</v>
      </c>
      <c r="O41" s="149" t="e">
        <f t="shared" si="4"/>
        <v>#N/A</v>
      </c>
      <c r="P41" s="150" t="e">
        <f t="shared" si="2"/>
        <v>#N/A</v>
      </c>
      <c r="Q41" s="80"/>
      <c r="R41" s="80"/>
      <c r="S41" s="80"/>
      <c r="T41" s="80"/>
      <c r="U41" s="80"/>
      <c r="V41" s="80"/>
      <c r="W41" s="80"/>
      <c r="X41" s="80"/>
      <c r="Y41" s="80"/>
      <c r="Z41" s="80"/>
      <c r="AA41" s="80"/>
      <c r="AB41" s="80"/>
    </row>
    <row r="42" spans="1:28" s="75" customFormat="1" x14ac:dyDescent="0.25">
      <c r="A42" s="147"/>
      <c r="B42" s="147"/>
      <c r="C42" s="148"/>
      <c r="D42" s="540"/>
      <c r="E42" s="538"/>
      <c r="F42" s="474"/>
      <c r="G42" s="474"/>
      <c r="H42" s="474"/>
      <c r="I42" s="474"/>
      <c r="J42" s="149" t="e">
        <f>IF(INDEX(TARIFF_TABLE[#All], MATCH($B42,TARIFF_TABLE[[#All],[Activity]],0),MATCH("ActivityType",TARIFF_TABLE[#Headers]))="Investigation",INDEX(TARIFF_TABLE[#All], MATCH($B42,TARIFF_TABLE[[#All],[Activity]],0),MATCH("Cost",TARIFF_TABLE[#Headers],0)),INDEX(Staff_Costs[#All],MATCH(D42,Staff_Costs[[#All],[Role]],0),MATCH("Per-minute cost",Staff_Costs[#Headers],0))*C42)</f>
        <v>#N/A</v>
      </c>
      <c r="K42" s="149" t="e">
        <f t="shared" ref="K42:O51" si="5">COUNTIF($F42:$I42, K$10)*$J42</f>
        <v>#N/A</v>
      </c>
      <c r="L42" s="149" t="e">
        <f t="shared" si="5"/>
        <v>#N/A</v>
      </c>
      <c r="M42" s="166" t="e">
        <f t="shared" si="1"/>
        <v>#N/A</v>
      </c>
      <c r="N42" s="149" t="e">
        <f t="shared" si="5"/>
        <v>#N/A</v>
      </c>
      <c r="O42" s="149" t="e">
        <f t="shared" si="5"/>
        <v>#N/A</v>
      </c>
      <c r="P42" s="150" t="e">
        <f t="shared" si="2"/>
        <v>#N/A</v>
      </c>
      <c r="Q42" s="80"/>
      <c r="R42" s="80"/>
      <c r="S42" s="80"/>
      <c r="T42" s="80"/>
      <c r="U42" s="80"/>
      <c r="V42" s="80"/>
      <c r="W42" s="80"/>
      <c r="X42" s="80"/>
      <c r="Y42" s="80"/>
      <c r="Z42" s="80"/>
      <c r="AA42" s="80"/>
      <c r="AB42" s="80"/>
    </row>
    <row r="43" spans="1:28" s="75" customFormat="1" x14ac:dyDescent="0.25">
      <c r="A43" s="147"/>
      <c r="B43" s="147"/>
      <c r="C43" s="148"/>
      <c r="D43" s="540"/>
      <c r="E43" s="538"/>
      <c r="F43" s="474"/>
      <c r="G43" s="474"/>
      <c r="H43" s="474"/>
      <c r="I43" s="474"/>
      <c r="J43" s="149" t="e">
        <f>IF(INDEX(TARIFF_TABLE[#All], MATCH($B43,TARIFF_TABLE[[#All],[Activity]],0),MATCH("ActivityType",TARIFF_TABLE[#Headers]))="Investigation",INDEX(TARIFF_TABLE[#All], MATCH($B43,TARIFF_TABLE[[#All],[Activity]],0),MATCH("Cost",TARIFF_TABLE[#Headers],0)),INDEX(Staff_Costs[#All],MATCH(D43,Staff_Costs[[#All],[Role]],0),MATCH("Per-minute cost",Staff_Costs[#Headers],0))*C43)</f>
        <v>#N/A</v>
      </c>
      <c r="K43" s="149" t="e">
        <f t="shared" si="5"/>
        <v>#N/A</v>
      </c>
      <c r="L43" s="149" t="e">
        <f t="shared" si="5"/>
        <v>#N/A</v>
      </c>
      <c r="M43" s="166" t="e">
        <f t="shared" si="5"/>
        <v>#N/A</v>
      </c>
      <c r="N43" s="149" t="e">
        <f t="shared" si="5"/>
        <v>#N/A</v>
      </c>
      <c r="O43" s="149" t="e">
        <f t="shared" si="5"/>
        <v>#N/A</v>
      </c>
      <c r="P43" s="150" t="e">
        <f t="shared" si="2"/>
        <v>#N/A</v>
      </c>
      <c r="Q43" s="80"/>
      <c r="R43" s="80"/>
      <c r="S43" s="80"/>
      <c r="T43" s="80"/>
      <c r="U43" s="80"/>
      <c r="V43" s="80"/>
      <c r="W43" s="80"/>
      <c r="X43" s="80"/>
      <c r="Y43" s="80"/>
      <c r="Z43" s="80"/>
      <c r="AA43" s="80"/>
      <c r="AB43" s="80"/>
    </row>
    <row r="44" spans="1:28" s="75" customFormat="1" x14ac:dyDescent="0.25">
      <c r="A44" s="147"/>
      <c r="B44" s="147"/>
      <c r="C44" s="148"/>
      <c r="D44" s="540"/>
      <c r="E44" s="538"/>
      <c r="F44" s="474"/>
      <c r="G44" s="474"/>
      <c r="H44" s="474"/>
      <c r="I44" s="474"/>
      <c r="J44" s="149" t="e">
        <f>IF(INDEX(TARIFF_TABLE[#All], MATCH($B44,TARIFF_TABLE[[#All],[Activity]],0),MATCH("ActivityType",TARIFF_TABLE[#Headers]))="Investigation",INDEX(TARIFF_TABLE[#All], MATCH($B44,TARIFF_TABLE[[#All],[Activity]],0),MATCH("Cost",TARIFF_TABLE[#Headers],0)),INDEX(Staff_Costs[#All],MATCH(D44,Staff_Costs[[#All],[Role]],0),MATCH("Per-minute cost",Staff_Costs[#Headers],0))*C44)</f>
        <v>#N/A</v>
      </c>
      <c r="K44" s="149" t="e">
        <f t="shared" si="5"/>
        <v>#N/A</v>
      </c>
      <c r="L44" s="149" t="e">
        <f t="shared" si="5"/>
        <v>#N/A</v>
      </c>
      <c r="M44" s="166" t="e">
        <f t="shared" si="5"/>
        <v>#N/A</v>
      </c>
      <c r="N44" s="149" t="e">
        <f t="shared" si="5"/>
        <v>#N/A</v>
      </c>
      <c r="O44" s="149" t="e">
        <f t="shared" si="5"/>
        <v>#N/A</v>
      </c>
      <c r="P44" s="150" t="e">
        <f t="shared" si="2"/>
        <v>#N/A</v>
      </c>
      <c r="Q44" s="80"/>
      <c r="R44" s="80"/>
      <c r="S44" s="80"/>
      <c r="T44" s="80"/>
      <c r="U44" s="80"/>
      <c r="V44" s="80"/>
      <c r="W44" s="80"/>
      <c r="X44" s="80"/>
      <c r="Y44" s="80"/>
      <c r="Z44" s="80"/>
      <c r="AA44" s="80"/>
      <c r="AB44" s="80"/>
    </row>
    <row r="45" spans="1:28" s="75" customFormat="1" x14ac:dyDescent="0.25">
      <c r="A45" s="147"/>
      <c r="B45" s="147"/>
      <c r="C45" s="148"/>
      <c r="D45" s="540"/>
      <c r="E45" s="538"/>
      <c r="F45" s="474"/>
      <c r="G45" s="474"/>
      <c r="H45" s="474"/>
      <c r="I45" s="474"/>
      <c r="J45" s="149" t="e">
        <f>IF(INDEX(TARIFF_TABLE[#All], MATCH($B45,TARIFF_TABLE[[#All],[Activity]],0),MATCH("ActivityType",TARIFF_TABLE[#Headers]))="Investigation",INDEX(TARIFF_TABLE[#All], MATCH($B45,TARIFF_TABLE[[#All],[Activity]],0),MATCH("Cost",TARIFF_TABLE[#Headers],0)),INDEX(Staff_Costs[#All],MATCH(D45,Staff_Costs[[#All],[Role]],0),MATCH("Per-minute cost",Staff_Costs[#Headers],0))*C45)</f>
        <v>#N/A</v>
      </c>
      <c r="K45" s="149" t="e">
        <f t="shared" si="5"/>
        <v>#N/A</v>
      </c>
      <c r="L45" s="149" t="e">
        <f t="shared" si="5"/>
        <v>#N/A</v>
      </c>
      <c r="M45" s="166" t="e">
        <f t="shared" si="5"/>
        <v>#N/A</v>
      </c>
      <c r="N45" s="149" t="e">
        <f t="shared" si="5"/>
        <v>#N/A</v>
      </c>
      <c r="O45" s="149" t="e">
        <f t="shared" si="5"/>
        <v>#N/A</v>
      </c>
      <c r="P45" s="150" t="e">
        <f t="shared" si="2"/>
        <v>#N/A</v>
      </c>
      <c r="Q45" s="80"/>
      <c r="R45" s="80"/>
      <c r="S45" s="80"/>
      <c r="T45" s="80"/>
      <c r="U45" s="80"/>
      <c r="V45" s="80"/>
      <c r="W45" s="80"/>
      <c r="X45" s="80"/>
      <c r="Y45" s="80"/>
      <c r="Z45" s="80"/>
      <c r="AA45" s="80"/>
      <c r="AB45" s="80"/>
    </row>
    <row r="46" spans="1:28" s="75" customFormat="1" x14ac:dyDescent="0.25">
      <c r="A46" s="147"/>
      <c r="B46" s="147"/>
      <c r="C46" s="148"/>
      <c r="D46" s="540"/>
      <c r="E46" s="538"/>
      <c r="F46" s="474"/>
      <c r="G46" s="474"/>
      <c r="H46" s="474"/>
      <c r="I46" s="474"/>
      <c r="J46" s="149" t="e">
        <f>IF(INDEX(TARIFF_TABLE[#All], MATCH($B46,TARIFF_TABLE[[#All],[Activity]],0),MATCH("ActivityType",TARIFF_TABLE[#Headers]))="Investigation",INDEX(TARIFF_TABLE[#All], MATCH($B46,TARIFF_TABLE[[#All],[Activity]],0),MATCH("Cost",TARIFF_TABLE[#Headers],0)),INDEX(Staff_Costs[#All],MATCH(D46,Staff_Costs[[#All],[Role]],0),MATCH("Per-minute cost",Staff_Costs[#Headers],0))*C46)</f>
        <v>#N/A</v>
      </c>
      <c r="K46" s="149" t="e">
        <f t="shared" si="5"/>
        <v>#N/A</v>
      </c>
      <c r="L46" s="149" t="e">
        <f t="shared" si="5"/>
        <v>#N/A</v>
      </c>
      <c r="M46" s="166" t="e">
        <f t="shared" si="5"/>
        <v>#N/A</v>
      </c>
      <c r="N46" s="149" t="e">
        <f t="shared" si="5"/>
        <v>#N/A</v>
      </c>
      <c r="O46" s="149" t="e">
        <f t="shared" si="5"/>
        <v>#N/A</v>
      </c>
      <c r="P46" s="150" t="e">
        <f t="shared" si="2"/>
        <v>#N/A</v>
      </c>
      <c r="Q46" s="80"/>
      <c r="R46" s="80"/>
      <c r="S46" s="80"/>
      <c r="T46" s="80"/>
      <c r="U46" s="80"/>
      <c r="V46" s="80"/>
      <c r="W46" s="80"/>
      <c r="X46" s="80"/>
      <c r="Y46" s="80"/>
      <c r="Z46" s="80"/>
      <c r="AA46" s="80"/>
      <c r="AB46" s="80"/>
    </row>
    <row r="47" spans="1:28" s="75" customFormat="1" x14ac:dyDescent="0.25">
      <c r="A47" s="147"/>
      <c r="B47" s="147"/>
      <c r="C47" s="148"/>
      <c r="D47" s="540"/>
      <c r="E47" s="538"/>
      <c r="F47" s="474"/>
      <c r="G47" s="474"/>
      <c r="H47" s="474"/>
      <c r="I47" s="474"/>
      <c r="J47" s="149" t="e">
        <f>IF(INDEX(TARIFF_TABLE[#All], MATCH($B47,TARIFF_TABLE[[#All],[Activity]],0),MATCH("ActivityType",TARIFF_TABLE[#Headers]))="Investigation",INDEX(TARIFF_TABLE[#All], MATCH($B47,TARIFF_TABLE[[#All],[Activity]],0),MATCH("Cost",TARIFF_TABLE[#Headers],0)),INDEX(Staff_Costs[#All],MATCH(D47,Staff_Costs[[#All],[Role]],0),MATCH("Per-minute cost",Staff_Costs[#Headers],0))*C47)</f>
        <v>#N/A</v>
      </c>
      <c r="K47" s="149" t="e">
        <f t="shared" si="5"/>
        <v>#N/A</v>
      </c>
      <c r="L47" s="149" t="e">
        <f t="shared" si="5"/>
        <v>#N/A</v>
      </c>
      <c r="M47" s="166" t="e">
        <f t="shared" si="5"/>
        <v>#N/A</v>
      </c>
      <c r="N47" s="149" t="e">
        <f t="shared" si="5"/>
        <v>#N/A</v>
      </c>
      <c r="O47" s="149" t="e">
        <f t="shared" si="5"/>
        <v>#N/A</v>
      </c>
      <c r="P47" s="150" t="e">
        <f t="shared" si="2"/>
        <v>#N/A</v>
      </c>
      <c r="Q47" s="80"/>
      <c r="R47" s="80"/>
      <c r="S47" s="80"/>
      <c r="T47" s="80"/>
      <c r="U47" s="80"/>
      <c r="V47" s="80"/>
      <c r="W47" s="80"/>
      <c r="X47" s="80"/>
      <c r="Y47" s="80"/>
      <c r="Z47" s="80"/>
      <c r="AA47" s="80"/>
      <c r="AB47" s="80"/>
    </row>
    <row r="48" spans="1:28" s="75" customFormat="1" x14ac:dyDescent="0.25">
      <c r="A48" s="147"/>
      <c r="B48" s="147"/>
      <c r="C48" s="148"/>
      <c r="D48" s="540"/>
      <c r="E48" s="538"/>
      <c r="F48" s="474"/>
      <c r="G48" s="474"/>
      <c r="H48" s="474"/>
      <c r="I48" s="474"/>
      <c r="J48" s="149" t="e">
        <f>IF(INDEX(TARIFF_TABLE[#All], MATCH($B48,TARIFF_TABLE[[#All],[Activity]],0),MATCH("ActivityType",TARIFF_TABLE[#Headers]))="Investigation",INDEX(TARIFF_TABLE[#All], MATCH($B48,TARIFF_TABLE[[#All],[Activity]],0),MATCH("Cost",TARIFF_TABLE[#Headers],0)),INDEX(Staff_Costs[#All],MATCH(D48,Staff_Costs[[#All],[Role]],0),MATCH("Per-minute cost",Staff_Costs[#Headers],0))*C48)</f>
        <v>#N/A</v>
      </c>
      <c r="K48" s="149" t="e">
        <f t="shared" si="5"/>
        <v>#N/A</v>
      </c>
      <c r="L48" s="149" t="e">
        <f t="shared" si="5"/>
        <v>#N/A</v>
      </c>
      <c r="M48" s="166" t="e">
        <f t="shared" si="5"/>
        <v>#N/A</v>
      </c>
      <c r="N48" s="149" t="e">
        <f t="shared" si="5"/>
        <v>#N/A</v>
      </c>
      <c r="O48" s="149" t="e">
        <f t="shared" si="5"/>
        <v>#N/A</v>
      </c>
      <c r="P48" s="150" t="e">
        <f t="shared" si="2"/>
        <v>#N/A</v>
      </c>
      <c r="Q48" s="80"/>
      <c r="R48" s="80"/>
      <c r="S48" s="80"/>
      <c r="T48" s="80"/>
      <c r="U48" s="80"/>
      <c r="V48" s="80"/>
      <c r="W48" s="80"/>
      <c r="X48" s="80"/>
      <c r="Y48" s="80"/>
      <c r="Z48" s="80"/>
      <c r="AA48" s="80"/>
      <c r="AB48" s="80"/>
    </row>
    <row r="49" spans="1:28" s="75" customFormat="1" x14ac:dyDescent="0.25">
      <c r="A49" s="147"/>
      <c r="B49" s="147"/>
      <c r="C49" s="148"/>
      <c r="D49" s="540"/>
      <c r="E49" s="538"/>
      <c r="F49" s="474"/>
      <c r="G49" s="474"/>
      <c r="H49" s="474"/>
      <c r="I49" s="474"/>
      <c r="J49" s="149" t="e">
        <f>IF(INDEX(TARIFF_TABLE[#All], MATCH($B49,TARIFF_TABLE[[#All],[Activity]],0),MATCH("ActivityType",TARIFF_TABLE[#Headers]))="Investigation",INDEX(TARIFF_TABLE[#All], MATCH($B49,TARIFF_TABLE[[#All],[Activity]],0),MATCH("Cost",TARIFF_TABLE[#Headers],0)),INDEX(Staff_Costs[#All],MATCH(D49,Staff_Costs[[#All],[Role]],0),MATCH("Per-minute cost",Staff_Costs[#Headers],0))*C49)</f>
        <v>#N/A</v>
      </c>
      <c r="K49" s="149" t="e">
        <f t="shared" si="5"/>
        <v>#N/A</v>
      </c>
      <c r="L49" s="149" t="e">
        <f t="shared" si="5"/>
        <v>#N/A</v>
      </c>
      <c r="M49" s="166" t="e">
        <f t="shared" si="5"/>
        <v>#N/A</v>
      </c>
      <c r="N49" s="149" t="e">
        <f t="shared" si="5"/>
        <v>#N/A</v>
      </c>
      <c r="O49" s="149" t="e">
        <f t="shared" si="5"/>
        <v>#N/A</v>
      </c>
      <c r="P49" s="150" t="e">
        <f t="shared" si="2"/>
        <v>#N/A</v>
      </c>
      <c r="Q49" s="80"/>
      <c r="R49" s="80"/>
      <c r="S49" s="80"/>
      <c r="T49" s="80"/>
      <c r="U49" s="80"/>
      <c r="V49" s="80"/>
      <c r="W49" s="80"/>
      <c r="X49" s="80"/>
      <c r="Y49" s="80"/>
      <c r="Z49" s="80"/>
      <c r="AA49" s="80"/>
      <c r="AB49" s="80"/>
    </row>
    <row r="50" spans="1:28" s="75" customFormat="1" x14ac:dyDescent="0.25">
      <c r="A50" s="147"/>
      <c r="B50" s="147"/>
      <c r="C50" s="148"/>
      <c r="D50" s="540"/>
      <c r="E50" s="538"/>
      <c r="F50" s="474"/>
      <c r="G50" s="474"/>
      <c r="H50" s="474"/>
      <c r="I50" s="474"/>
      <c r="J50" s="149" t="e">
        <f>IF(INDEX(TARIFF_TABLE[#All], MATCH($B50,TARIFF_TABLE[[#All],[Activity]],0),MATCH("ActivityType",TARIFF_TABLE[#Headers]))="Investigation",INDEX(TARIFF_TABLE[#All], MATCH($B50,TARIFF_TABLE[[#All],[Activity]],0),MATCH("Cost",TARIFF_TABLE[#Headers],0)),INDEX(Staff_Costs[#All],MATCH(D50,Staff_Costs[[#All],[Role]],0),MATCH("Per-minute cost",Staff_Costs[#Headers],0))*C50)</f>
        <v>#N/A</v>
      </c>
      <c r="K50" s="149" t="e">
        <f t="shared" si="5"/>
        <v>#N/A</v>
      </c>
      <c r="L50" s="149" t="e">
        <f t="shared" si="5"/>
        <v>#N/A</v>
      </c>
      <c r="M50" s="166" t="e">
        <f t="shared" si="5"/>
        <v>#N/A</v>
      </c>
      <c r="N50" s="149" t="e">
        <f t="shared" si="5"/>
        <v>#N/A</v>
      </c>
      <c r="O50" s="149" t="e">
        <f t="shared" si="5"/>
        <v>#N/A</v>
      </c>
      <c r="P50" s="150" t="e">
        <f t="shared" si="2"/>
        <v>#N/A</v>
      </c>
      <c r="Q50" s="80"/>
      <c r="R50" s="80"/>
      <c r="S50" s="80"/>
      <c r="T50" s="80"/>
      <c r="U50" s="80"/>
      <c r="V50" s="80"/>
      <c r="W50" s="80"/>
      <c r="X50" s="80"/>
      <c r="Y50" s="80"/>
      <c r="Z50" s="80"/>
      <c r="AA50" s="80"/>
      <c r="AB50" s="80"/>
    </row>
    <row r="51" spans="1:28" s="75" customFormat="1" x14ac:dyDescent="0.25">
      <c r="A51" s="147"/>
      <c r="B51" s="147"/>
      <c r="C51" s="148"/>
      <c r="D51" s="540"/>
      <c r="E51" s="538"/>
      <c r="F51" s="474"/>
      <c r="G51" s="474"/>
      <c r="H51" s="474"/>
      <c r="I51" s="474"/>
      <c r="J51" s="149" t="e">
        <f>IF(INDEX(TARIFF_TABLE[#All], MATCH($B51,TARIFF_TABLE[[#All],[Activity]],0),MATCH("ActivityType",TARIFF_TABLE[#Headers]))="Investigation",INDEX(TARIFF_TABLE[#All], MATCH($B51,TARIFF_TABLE[[#All],[Activity]],0),MATCH("Cost",TARIFF_TABLE[#Headers],0)),INDEX(Staff_Costs[#All],MATCH(D51,Staff_Costs[[#All],[Role]],0),MATCH("Per-minute cost",Staff_Costs[#Headers],0))*C51)</f>
        <v>#N/A</v>
      </c>
      <c r="K51" s="149" t="e">
        <f t="shared" si="5"/>
        <v>#N/A</v>
      </c>
      <c r="L51" s="149" t="e">
        <f t="shared" si="5"/>
        <v>#N/A</v>
      </c>
      <c r="M51" s="166" t="e">
        <f t="shared" si="5"/>
        <v>#N/A</v>
      </c>
      <c r="N51" s="149" t="e">
        <f t="shared" si="5"/>
        <v>#N/A</v>
      </c>
      <c r="O51" s="149" t="e">
        <f t="shared" si="5"/>
        <v>#N/A</v>
      </c>
      <c r="P51" s="150" t="e">
        <f t="shared" si="2"/>
        <v>#N/A</v>
      </c>
      <c r="Q51" s="80"/>
      <c r="R51" s="80"/>
      <c r="S51" s="80"/>
      <c r="T51" s="80"/>
      <c r="U51" s="80"/>
      <c r="V51" s="80"/>
      <c r="W51" s="80"/>
      <c r="X51" s="80"/>
      <c r="Y51" s="80"/>
      <c r="Z51" s="80"/>
      <c r="AA51" s="80"/>
      <c r="AB51" s="80"/>
    </row>
    <row r="52" spans="1:28" s="75" customFormat="1" x14ac:dyDescent="0.25">
      <c r="A52" s="147"/>
      <c r="B52" s="147"/>
      <c r="C52" s="148"/>
      <c r="D52" s="540"/>
      <c r="E52" s="538"/>
      <c r="F52" s="474"/>
      <c r="G52" s="474"/>
      <c r="H52" s="474"/>
      <c r="I52" s="474"/>
      <c r="J52" s="149" t="e">
        <f>IF(INDEX(TARIFF_TABLE[#All], MATCH($B52,TARIFF_TABLE[[#All],[Activity]],0),MATCH("ActivityType",TARIFF_TABLE[#Headers]))="Investigation",INDEX(TARIFF_TABLE[#All], MATCH($B52,TARIFF_TABLE[[#All],[Activity]],0),MATCH("Cost",TARIFF_TABLE[#Headers],0)),INDEX(Staff_Costs[#All],MATCH(D52,Staff_Costs[[#All],[Role]],0),MATCH("Per-minute cost",Staff_Costs[#Headers],0))*C52)</f>
        <v>#N/A</v>
      </c>
      <c r="K52" s="149" t="e">
        <f t="shared" ref="K52:O59" si="6">COUNTIF($F52:$I52, K$10)*$J52</f>
        <v>#N/A</v>
      </c>
      <c r="L52" s="149" t="e">
        <f t="shared" si="6"/>
        <v>#N/A</v>
      </c>
      <c r="M52" s="166" t="e">
        <f t="shared" si="6"/>
        <v>#N/A</v>
      </c>
      <c r="N52" s="149" t="e">
        <f t="shared" si="6"/>
        <v>#N/A</v>
      </c>
      <c r="O52" s="149" t="e">
        <f t="shared" si="6"/>
        <v>#N/A</v>
      </c>
      <c r="P52" s="150" t="e">
        <f t="shared" si="2"/>
        <v>#N/A</v>
      </c>
      <c r="Q52" s="80"/>
      <c r="R52" s="80"/>
      <c r="S52" s="80"/>
      <c r="T52" s="80"/>
      <c r="U52" s="80"/>
      <c r="V52" s="80"/>
      <c r="W52" s="80"/>
      <c r="X52" s="80"/>
      <c r="Y52" s="80"/>
      <c r="Z52" s="80"/>
      <c r="AA52" s="80"/>
      <c r="AB52" s="80"/>
    </row>
    <row r="53" spans="1:28" s="75" customFormat="1" x14ac:dyDescent="0.25">
      <c r="A53" s="147"/>
      <c r="B53" s="147"/>
      <c r="C53" s="148"/>
      <c r="D53" s="540"/>
      <c r="E53" s="538"/>
      <c r="F53" s="474"/>
      <c r="G53" s="474"/>
      <c r="H53" s="474"/>
      <c r="I53" s="474"/>
      <c r="J53" s="149" t="e">
        <f>IF(INDEX(TARIFF_TABLE[#All], MATCH($B53,TARIFF_TABLE[[#All],[Activity]],0),MATCH("ActivityType",TARIFF_TABLE[#Headers]))="Investigation",INDEX(TARIFF_TABLE[#All], MATCH($B53,TARIFF_TABLE[[#All],[Activity]],0),MATCH("Cost",TARIFF_TABLE[#Headers],0)),INDEX(Staff_Costs[#All],MATCH(D53,Staff_Costs[[#All],[Role]],0),MATCH("Per-minute cost",Staff_Costs[#Headers],0))*C53)</f>
        <v>#N/A</v>
      </c>
      <c r="K53" s="149" t="e">
        <f t="shared" si="6"/>
        <v>#N/A</v>
      </c>
      <c r="L53" s="149" t="e">
        <f t="shared" si="6"/>
        <v>#N/A</v>
      </c>
      <c r="M53" s="166" t="e">
        <f t="shared" si="6"/>
        <v>#N/A</v>
      </c>
      <c r="N53" s="149" t="e">
        <f t="shared" si="6"/>
        <v>#N/A</v>
      </c>
      <c r="O53" s="149" t="e">
        <f t="shared" si="6"/>
        <v>#N/A</v>
      </c>
      <c r="P53" s="150" t="e">
        <f t="shared" si="2"/>
        <v>#N/A</v>
      </c>
      <c r="Q53" s="80"/>
      <c r="R53" s="80"/>
      <c r="S53" s="80"/>
      <c r="T53" s="80"/>
      <c r="U53" s="80"/>
      <c r="V53" s="80"/>
      <c r="W53" s="80"/>
      <c r="X53" s="80"/>
      <c r="Y53" s="80"/>
      <c r="Z53" s="80"/>
      <c r="AA53" s="80"/>
      <c r="AB53" s="80"/>
    </row>
    <row r="54" spans="1:28" s="75" customFormat="1" x14ac:dyDescent="0.25">
      <c r="A54" s="147"/>
      <c r="B54" s="147"/>
      <c r="C54" s="148"/>
      <c r="D54" s="540"/>
      <c r="E54" s="538"/>
      <c r="F54" s="474"/>
      <c r="G54" s="474"/>
      <c r="H54" s="474"/>
      <c r="I54" s="474"/>
      <c r="J54" s="149" t="e">
        <f>IF(INDEX(TARIFF_TABLE[#All], MATCH($B54,TARIFF_TABLE[[#All],[Activity]],0),MATCH("ActivityType",TARIFF_TABLE[#Headers]))="Investigation",INDEX(TARIFF_TABLE[#All], MATCH($B54,TARIFF_TABLE[[#All],[Activity]],0),MATCH("Cost",TARIFF_TABLE[#Headers],0)),INDEX(Staff_Costs[#All],MATCH(D54,Staff_Costs[[#All],[Role]],0),MATCH("Per-minute cost",Staff_Costs[#Headers],0))*C54)</f>
        <v>#N/A</v>
      </c>
      <c r="K54" s="149" t="e">
        <f t="shared" si="6"/>
        <v>#N/A</v>
      </c>
      <c r="L54" s="149" t="e">
        <f t="shared" si="6"/>
        <v>#N/A</v>
      </c>
      <c r="M54" s="166" t="e">
        <f t="shared" si="6"/>
        <v>#N/A</v>
      </c>
      <c r="N54" s="149" t="e">
        <f t="shared" si="6"/>
        <v>#N/A</v>
      </c>
      <c r="O54" s="149" t="e">
        <f t="shared" si="6"/>
        <v>#N/A</v>
      </c>
      <c r="P54" s="150" t="e">
        <f t="shared" si="2"/>
        <v>#N/A</v>
      </c>
      <c r="Q54" s="80"/>
      <c r="R54" s="80"/>
      <c r="S54" s="80"/>
      <c r="T54" s="80"/>
      <c r="U54" s="80"/>
      <c r="V54" s="80"/>
      <c r="W54" s="80"/>
      <c r="X54" s="80"/>
      <c r="Y54" s="80"/>
      <c r="Z54" s="80"/>
      <c r="AA54" s="80"/>
      <c r="AB54" s="80"/>
    </row>
    <row r="55" spans="1:28" s="75" customFormat="1" x14ac:dyDescent="0.25">
      <c r="A55" s="147"/>
      <c r="B55" s="147"/>
      <c r="C55" s="148"/>
      <c r="D55" s="540"/>
      <c r="E55" s="538"/>
      <c r="F55" s="474"/>
      <c r="G55" s="474"/>
      <c r="H55" s="474"/>
      <c r="I55" s="474"/>
      <c r="J55" s="149" t="e">
        <f>IF(INDEX(TARIFF_TABLE[#All], MATCH($B55,TARIFF_TABLE[[#All],[Activity]],0),MATCH("ActivityType",TARIFF_TABLE[#Headers]))="Investigation",INDEX(TARIFF_TABLE[#All], MATCH($B55,TARIFF_TABLE[[#All],[Activity]],0),MATCH("Cost",TARIFF_TABLE[#Headers],0)),INDEX(Staff_Costs[#All],MATCH(D55,Staff_Costs[[#All],[Role]],0),MATCH("Per-minute cost",Staff_Costs[#Headers],0))*C55)</f>
        <v>#N/A</v>
      </c>
      <c r="K55" s="149" t="e">
        <f t="shared" si="6"/>
        <v>#N/A</v>
      </c>
      <c r="L55" s="149" t="e">
        <f t="shared" si="6"/>
        <v>#N/A</v>
      </c>
      <c r="M55" s="166" t="e">
        <f t="shared" si="6"/>
        <v>#N/A</v>
      </c>
      <c r="N55" s="149" t="e">
        <f t="shared" si="6"/>
        <v>#N/A</v>
      </c>
      <c r="O55" s="149" t="e">
        <f t="shared" si="6"/>
        <v>#N/A</v>
      </c>
      <c r="P55" s="150" t="e">
        <f t="shared" si="2"/>
        <v>#N/A</v>
      </c>
      <c r="Q55" s="80"/>
      <c r="R55" s="80"/>
      <c r="S55" s="80"/>
      <c r="T55" s="80"/>
      <c r="U55" s="80"/>
      <c r="V55" s="80"/>
      <c r="W55" s="80"/>
      <c r="X55" s="80"/>
      <c r="Y55" s="80"/>
      <c r="Z55" s="80"/>
      <c r="AA55" s="80"/>
      <c r="AB55" s="80"/>
    </row>
    <row r="56" spans="1:28" s="75" customFormat="1" x14ac:dyDescent="0.25">
      <c r="A56" s="147"/>
      <c r="B56" s="147"/>
      <c r="C56" s="148"/>
      <c r="D56" s="540"/>
      <c r="E56" s="538"/>
      <c r="F56" s="474"/>
      <c r="G56" s="474"/>
      <c r="H56" s="474"/>
      <c r="I56" s="474"/>
      <c r="J56" s="149" t="e">
        <f>IF(INDEX(TARIFF_TABLE[#All], MATCH($B56,TARIFF_TABLE[[#All],[Activity]],0),MATCH("ActivityType",TARIFF_TABLE[#Headers]))="Investigation",INDEX(TARIFF_TABLE[#All], MATCH($B56,TARIFF_TABLE[[#All],[Activity]],0),MATCH("Cost",TARIFF_TABLE[#Headers],0)),INDEX(Staff_Costs[#All],MATCH(D56,Staff_Costs[[#All],[Role]],0),MATCH("Per-minute cost",Staff_Costs[#Headers],0))*C56)</f>
        <v>#N/A</v>
      </c>
      <c r="K56" s="149" t="e">
        <f t="shared" si="6"/>
        <v>#N/A</v>
      </c>
      <c r="L56" s="149" t="e">
        <f t="shared" si="6"/>
        <v>#N/A</v>
      </c>
      <c r="M56" s="166" t="e">
        <f t="shared" si="6"/>
        <v>#N/A</v>
      </c>
      <c r="N56" s="149" t="e">
        <f t="shared" si="6"/>
        <v>#N/A</v>
      </c>
      <c r="O56" s="149" t="e">
        <f t="shared" si="6"/>
        <v>#N/A</v>
      </c>
      <c r="P56" s="150" t="e">
        <f t="shared" si="2"/>
        <v>#N/A</v>
      </c>
      <c r="Q56" s="80"/>
      <c r="R56" s="80"/>
      <c r="S56" s="80"/>
      <c r="T56" s="80"/>
      <c r="U56" s="80"/>
      <c r="V56" s="80"/>
      <c r="W56" s="80"/>
      <c r="X56" s="80"/>
      <c r="Y56" s="80"/>
      <c r="Z56" s="80"/>
      <c r="AA56" s="80"/>
      <c r="AB56" s="80"/>
    </row>
    <row r="57" spans="1:28" s="75" customFormat="1" x14ac:dyDescent="0.25">
      <c r="A57" s="147"/>
      <c r="B57" s="147"/>
      <c r="C57" s="148"/>
      <c r="D57" s="540"/>
      <c r="E57" s="538"/>
      <c r="F57" s="474"/>
      <c r="G57" s="474"/>
      <c r="H57" s="474"/>
      <c r="I57" s="474"/>
      <c r="J57" s="149" t="e">
        <f>IF(INDEX(TARIFF_TABLE[#All], MATCH($B57,TARIFF_TABLE[[#All],[Activity]],0),MATCH("ActivityType",TARIFF_TABLE[#Headers]))="Investigation",INDEX(TARIFF_TABLE[#All], MATCH($B57,TARIFF_TABLE[[#All],[Activity]],0),MATCH("Cost",TARIFF_TABLE[#Headers],0)),INDEX(Staff_Costs[#All],MATCH(D57,Staff_Costs[[#All],[Role]],0),MATCH("Per-minute cost",Staff_Costs[#Headers],0))*C57)</f>
        <v>#N/A</v>
      </c>
      <c r="K57" s="149" t="e">
        <f t="shared" si="6"/>
        <v>#N/A</v>
      </c>
      <c r="L57" s="149" t="e">
        <f t="shared" si="6"/>
        <v>#N/A</v>
      </c>
      <c r="M57" s="166" t="e">
        <f t="shared" si="6"/>
        <v>#N/A</v>
      </c>
      <c r="N57" s="149" t="e">
        <f t="shared" si="6"/>
        <v>#N/A</v>
      </c>
      <c r="O57" s="149" t="e">
        <f t="shared" si="6"/>
        <v>#N/A</v>
      </c>
      <c r="P57" s="150" t="e">
        <f t="shared" si="2"/>
        <v>#N/A</v>
      </c>
      <c r="Q57" s="80"/>
      <c r="R57" s="80"/>
      <c r="S57" s="80"/>
      <c r="T57" s="80"/>
      <c r="U57" s="80"/>
      <c r="V57" s="80"/>
      <c r="W57" s="80"/>
      <c r="X57" s="80"/>
      <c r="Y57" s="80"/>
      <c r="Z57" s="80"/>
      <c r="AA57" s="80"/>
      <c r="AB57" s="80"/>
    </row>
    <row r="58" spans="1:28" s="75" customFormat="1" x14ac:dyDescent="0.25">
      <c r="A58" s="147"/>
      <c r="B58" s="147"/>
      <c r="C58" s="148"/>
      <c r="D58" s="540"/>
      <c r="E58" s="538"/>
      <c r="F58" s="474"/>
      <c r="G58" s="474"/>
      <c r="H58" s="474"/>
      <c r="I58" s="474"/>
      <c r="J58" s="149" t="e">
        <f>IF(INDEX(TARIFF_TABLE[#All], MATCH($B58,TARIFF_TABLE[[#All],[Activity]],0),MATCH("ActivityType",TARIFF_TABLE[#Headers]))="Investigation",INDEX(TARIFF_TABLE[#All], MATCH($B58,TARIFF_TABLE[[#All],[Activity]],0),MATCH("Cost",TARIFF_TABLE[#Headers],0)),INDEX(Staff_Costs[#All],MATCH(D58,Staff_Costs[[#All],[Role]],0),MATCH("Per-minute cost",Staff_Costs[#Headers],0))*C58)</f>
        <v>#N/A</v>
      </c>
      <c r="K58" s="149" t="e">
        <f t="shared" si="6"/>
        <v>#N/A</v>
      </c>
      <c r="L58" s="149" t="e">
        <f t="shared" si="6"/>
        <v>#N/A</v>
      </c>
      <c r="M58" s="166" t="e">
        <f t="shared" si="6"/>
        <v>#N/A</v>
      </c>
      <c r="N58" s="149" t="e">
        <f t="shared" si="6"/>
        <v>#N/A</v>
      </c>
      <c r="O58" s="149" t="e">
        <f t="shared" si="6"/>
        <v>#N/A</v>
      </c>
      <c r="P58" s="150" t="e">
        <f t="shared" si="2"/>
        <v>#N/A</v>
      </c>
      <c r="Q58" s="80"/>
      <c r="R58" s="80"/>
      <c r="S58" s="80"/>
      <c r="T58" s="80"/>
      <c r="U58" s="80"/>
      <c r="V58" s="80"/>
      <c r="W58" s="80"/>
      <c r="X58" s="80"/>
      <c r="Y58" s="80"/>
      <c r="Z58" s="80"/>
      <c r="AA58" s="80"/>
      <c r="AB58" s="80"/>
    </row>
    <row r="59" spans="1:28" s="75" customFormat="1" x14ac:dyDescent="0.25">
      <c r="A59" s="147"/>
      <c r="B59" s="147"/>
      <c r="C59" s="148"/>
      <c r="D59" s="540"/>
      <c r="E59" s="538"/>
      <c r="F59" s="474"/>
      <c r="G59" s="474"/>
      <c r="H59" s="474"/>
      <c r="I59" s="474"/>
      <c r="J59" s="149" t="e">
        <f>IF(INDEX(TARIFF_TABLE[#All], MATCH($B59,TARIFF_TABLE[[#All],[Activity]],0),MATCH("ActivityType",TARIFF_TABLE[#Headers]))="Investigation",INDEX(TARIFF_TABLE[#All], MATCH($B59,TARIFF_TABLE[[#All],[Activity]],0),MATCH("Cost",TARIFF_TABLE[#Headers],0)),INDEX(Staff_Costs[#All],MATCH(D59,Staff_Costs[[#All],[Role]],0),MATCH("Per-minute cost",Staff_Costs[#Headers],0))*C59)</f>
        <v>#N/A</v>
      </c>
      <c r="K59" s="149" t="e">
        <f t="shared" si="6"/>
        <v>#N/A</v>
      </c>
      <c r="L59" s="149" t="e">
        <f t="shared" si="6"/>
        <v>#N/A</v>
      </c>
      <c r="M59" s="166" t="e">
        <f t="shared" si="6"/>
        <v>#N/A</v>
      </c>
      <c r="N59" s="149" t="e">
        <f t="shared" si="6"/>
        <v>#N/A</v>
      </c>
      <c r="O59" s="149" t="e">
        <f t="shared" si="6"/>
        <v>#N/A</v>
      </c>
      <c r="P59" s="150" t="e">
        <f t="shared" si="2"/>
        <v>#N/A</v>
      </c>
      <c r="Q59" s="80"/>
      <c r="R59" s="80"/>
      <c r="S59" s="80"/>
      <c r="T59" s="80"/>
      <c r="U59" s="80"/>
      <c r="V59" s="80"/>
      <c r="W59" s="80"/>
      <c r="X59" s="80"/>
      <c r="Y59" s="80"/>
      <c r="Z59" s="80"/>
      <c r="AA59" s="80"/>
      <c r="AB59" s="80"/>
    </row>
    <row r="60" spans="1:28" x14ac:dyDescent="0.25">
      <c r="A60" s="147"/>
      <c r="B60" s="147"/>
      <c r="C60" s="148"/>
      <c r="D60" s="540"/>
      <c r="E60" s="538"/>
      <c r="F60" s="474"/>
      <c r="G60" s="474"/>
      <c r="H60" s="474"/>
      <c r="I60" s="474"/>
      <c r="J60" s="475" t="e">
        <f>IF(INDEX(TARIFF_TABLE[#All], MATCH($B60,TARIFF_TABLE[[#All],[Activity]],0),MATCH("ActivityType",TARIFF_TABLE[#Headers]))="Investigation",INDEX(TARIFF_TABLE[#All], MATCH($B60,TARIFF_TABLE[[#All],[Activity]],0),MATCH("Cost",TARIFF_TABLE[#Headers])),INDEX(Staff_Costs[#All],MATCH(D60,Staff_Costs[[#All],[Role]],0),MATCH("Per-minute cost",Staff_Costs[#Headers],0))*C60)</f>
        <v>#N/A</v>
      </c>
      <c r="K60" s="475" t="e">
        <f t="shared" ref="K60:K91" si="7">COUNTIF($F60:$I60, K$10)*$J60</f>
        <v>#N/A</v>
      </c>
      <c r="L60" s="475" t="e">
        <f>IF(INDEX(TARIFF_TABLE[#All], MATCH($B60,TARIFF_TABLE[[#All],[Activity]],0),MATCH("ActivityType",TARIFF_TABLE[#Headers]))="Investigation",INDEX(TARIFF_TABLE[#All], MATCH($B60,TARIFF_TABLE[[#All],[Activity]],0),MATCH("Cost",TARIFF_TABLE[#Headers])),INDEX(Staff_Costs[#All],MATCH(F60,Staff_Costs[[#All],[Role]],0),MATCH("Per-minute cost",Staff_Costs[#Headers],0))*D60)</f>
        <v>#N/A</v>
      </c>
      <c r="M60" s="475" t="e">
        <f t="shared" ref="M60:M91" si="8">COUNTIF($F60:$I60, M$10)*$J60</f>
        <v>#N/A</v>
      </c>
      <c r="N60" s="476" t="e">
        <f>IF(INDEX(TARIFF_TABLE[#All], MATCH($B60,TARIFF_TABLE[[#All],[Activity]],0),MATCH("ActivityType",TARIFF_TABLE[#Headers]))="Investigation",INDEX(TARIFF_TABLE[#All], MATCH($B60,TARIFF_TABLE[[#All],[Activity]],0),MATCH("Cost",TARIFF_TABLE[#Headers])),INDEX(Staff_Costs[#All],MATCH(G60,Staff_Costs[[#All],[Role]],0),MATCH("Per-minute cost",Staff_Costs[#Headers],0))*F60)</f>
        <v>#N/A</v>
      </c>
      <c r="O60" s="476" t="e">
        <f>IF(INDEX(TARIFF_TABLE[#All], MATCH($B60,TARIFF_TABLE[[#All],[Activity]],0),MATCH("ActivityType",TARIFF_TABLE[#Headers]))="Investigation",INDEX(TARIFF_TABLE[#All], MATCH($B60,TARIFF_TABLE[[#All],[Activity]],0),MATCH("Cost",TARIFF_TABLE[#Headers])),INDEX(Staff_Costs[#All],MATCH(H60,Staff_Costs[[#All],[Role]],0),MATCH("Per-minute cost",Staff_Costs[#Headers],0))*G60)</f>
        <v>#N/A</v>
      </c>
      <c r="P60" s="476" t="e">
        <f>INDEX('Tariff (hidden)'!$B$4:$B$133,MATCH(B60,'Tariff (hidden)'!$A$4:$A$133,0))</f>
        <v>#N/A</v>
      </c>
      <c r="Q60" s="18"/>
      <c r="R60" s="18"/>
      <c r="S60" s="18"/>
      <c r="T60" s="18"/>
      <c r="U60" s="18"/>
      <c r="V60" s="18"/>
      <c r="W60" s="18"/>
      <c r="X60" s="18"/>
      <c r="Y60" s="18"/>
      <c r="Z60" s="18"/>
      <c r="AA60" s="18"/>
      <c r="AB60" s="18"/>
    </row>
    <row r="61" spans="1:28" x14ac:dyDescent="0.25">
      <c r="A61" s="147"/>
      <c r="B61" s="147"/>
      <c r="C61" s="148"/>
      <c r="D61" s="540"/>
      <c r="E61" s="538"/>
      <c r="F61" s="474"/>
      <c r="G61" s="474"/>
      <c r="H61" s="474"/>
      <c r="I61" s="474"/>
      <c r="J61" s="475" t="e">
        <f>IF(INDEX(TARIFF_TABLE[#All], MATCH($B61,TARIFF_TABLE[[#All],[Activity]],0),MATCH("ActivityType",TARIFF_TABLE[#Headers]))="Investigation",INDEX(TARIFF_TABLE[#All], MATCH($B61,TARIFF_TABLE[[#All],[Activity]],0),MATCH("Cost",TARIFF_TABLE[#Headers])),INDEX(Staff_Costs[#All],MATCH(D61,Staff_Costs[[#All],[Role]],0),MATCH("Per-minute cost",Staff_Costs[#Headers],0))*C61)</f>
        <v>#N/A</v>
      </c>
      <c r="K61" s="476" t="e">
        <f t="shared" si="7"/>
        <v>#N/A</v>
      </c>
      <c r="L61" s="476" t="e">
        <f>IF(INDEX(TARIFF_TABLE[#All], MATCH($B61,TARIFF_TABLE[[#All],[Activity]],0),MATCH("ActivityType",TARIFF_TABLE[#Headers]))="Investigation",INDEX(TARIFF_TABLE[#All], MATCH($B61,TARIFF_TABLE[[#All],[Activity]],0),MATCH("Cost",TARIFF_TABLE[#Headers])),INDEX(Staff_Costs[#All],MATCH(F61,Staff_Costs[[#All],[Role]],0),MATCH("Per-minute cost",Staff_Costs[#Headers],0))*D61)</f>
        <v>#N/A</v>
      </c>
      <c r="M61" s="476" t="e">
        <f t="shared" si="8"/>
        <v>#N/A</v>
      </c>
      <c r="N61" s="476" t="e">
        <f>IF(INDEX(TARIFF_TABLE[#All], MATCH($B61,TARIFF_TABLE[[#All],[Activity]],0),MATCH("ActivityType",TARIFF_TABLE[#Headers]))="Investigation",INDEX(TARIFF_TABLE[#All], MATCH($B61,TARIFF_TABLE[[#All],[Activity]],0),MATCH("Cost",TARIFF_TABLE[#Headers])),INDEX(Staff_Costs[#All],MATCH(G61,Staff_Costs[[#All],[Role]],0),MATCH("Per-minute cost",Staff_Costs[#Headers],0))*F61)</f>
        <v>#N/A</v>
      </c>
      <c r="O61" s="476" t="e">
        <f>IF(INDEX(TARIFF_TABLE[#All], MATCH($B61,TARIFF_TABLE[[#All],[Activity]],0),MATCH("ActivityType",TARIFF_TABLE[#Headers]))="Investigation",INDEX(TARIFF_TABLE[#All], MATCH($B61,TARIFF_TABLE[[#All],[Activity]],0),MATCH("Cost",TARIFF_TABLE[#Headers])),INDEX(Staff_Costs[#All],MATCH(H61,Staff_Costs[[#All],[Role]],0),MATCH("Per-minute cost",Staff_Costs[#Headers],0))*G61)</f>
        <v>#N/A</v>
      </c>
      <c r="P61" s="476" t="e">
        <f>INDEX('Tariff (hidden)'!$B$4:$B$133,MATCH(B61,'Tariff (hidden)'!$A$4:$A$133,0))</f>
        <v>#N/A</v>
      </c>
    </row>
    <row r="62" spans="1:28" x14ac:dyDescent="0.25">
      <c r="A62" s="147"/>
      <c r="B62" s="147"/>
      <c r="C62" s="148"/>
      <c r="D62" s="540"/>
      <c r="E62" s="538"/>
      <c r="F62" s="474"/>
      <c r="G62" s="474"/>
      <c r="H62" s="474"/>
      <c r="I62" s="474"/>
      <c r="J62" s="475" t="e">
        <f>IF(INDEX(TARIFF_TABLE[#All], MATCH($B62,TARIFF_TABLE[[#All],[Activity]],0),MATCH("ActivityType",TARIFF_TABLE[#Headers]))="Investigation",INDEX(TARIFF_TABLE[#All], MATCH($B62,TARIFF_TABLE[[#All],[Activity]],0),MATCH("Cost",TARIFF_TABLE[#Headers])),INDEX(Staff_Costs[#All],MATCH(D62,Staff_Costs[[#All],[Role]],0),MATCH("Per-minute cost",Staff_Costs[#Headers],0))*C62)</f>
        <v>#N/A</v>
      </c>
      <c r="K62" s="476" t="e">
        <f t="shared" si="7"/>
        <v>#N/A</v>
      </c>
      <c r="L62" s="476" t="e">
        <f>IF(INDEX(TARIFF_TABLE[#All], MATCH($B62,TARIFF_TABLE[[#All],[Activity]],0),MATCH("ActivityType",TARIFF_TABLE[#Headers]))="Investigation",INDEX(TARIFF_TABLE[#All], MATCH($B62,TARIFF_TABLE[[#All],[Activity]],0),MATCH("Cost",TARIFF_TABLE[#Headers])),INDEX(Staff_Costs[#All],MATCH(F62,Staff_Costs[[#All],[Role]],0),MATCH("Per-minute cost",Staff_Costs[#Headers],0))*D62)</f>
        <v>#N/A</v>
      </c>
      <c r="M62" s="476" t="e">
        <f t="shared" si="8"/>
        <v>#N/A</v>
      </c>
      <c r="N62" s="476" t="e">
        <f>IF(INDEX(TARIFF_TABLE[#All], MATCH($B62,TARIFF_TABLE[[#All],[Activity]],0),MATCH("ActivityType",TARIFF_TABLE[#Headers]))="Investigation",INDEX(TARIFF_TABLE[#All], MATCH($B62,TARIFF_TABLE[[#All],[Activity]],0),MATCH("Cost",TARIFF_TABLE[#Headers])),INDEX(Staff_Costs[#All],MATCH(G62,Staff_Costs[[#All],[Role]],0),MATCH("Per-minute cost",Staff_Costs[#Headers],0))*F62)</f>
        <v>#N/A</v>
      </c>
      <c r="O62" s="476" t="e">
        <f>IF(INDEX(TARIFF_TABLE[#All], MATCH($B62,TARIFF_TABLE[[#All],[Activity]],0),MATCH("ActivityType",TARIFF_TABLE[#Headers]))="Investigation",INDEX(TARIFF_TABLE[#All], MATCH($B62,TARIFF_TABLE[[#All],[Activity]],0),MATCH("Cost",TARIFF_TABLE[#Headers])),INDEX(Staff_Costs[#All],MATCH(H62,Staff_Costs[[#All],[Role]],0),MATCH("Per-minute cost",Staff_Costs[#Headers],0))*G62)</f>
        <v>#N/A</v>
      </c>
      <c r="P62" s="476" t="e">
        <f>INDEX('Tariff (hidden)'!$B$4:$B$133,MATCH(B62,'Tariff (hidden)'!$A$4:$A$133,0))</f>
        <v>#N/A</v>
      </c>
    </row>
    <row r="63" spans="1:28" x14ac:dyDescent="0.25">
      <c r="A63" s="147"/>
      <c r="B63" s="147"/>
      <c r="C63" s="148"/>
      <c r="D63" s="540"/>
      <c r="E63" s="538"/>
      <c r="F63" s="474"/>
      <c r="G63" s="474"/>
      <c r="H63" s="474"/>
      <c r="I63" s="474"/>
      <c r="J63" s="475" t="e">
        <f>IF(INDEX(TARIFF_TABLE[#All], MATCH($B63,TARIFF_TABLE[[#All],[Activity]],0),MATCH("ActivityType",TARIFF_TABLE[#Headers]))="Investigation",INDEX(TARIFF_TABLE[#All], MATCH($B63,TARIFF_TABLE[[#All],[Activity]],0),MATCH("Cost",TARIFF_TABLE[#Headers])),INDEX(Staff_Costs[#All],MATCH(D63,Staff_Costs[[#All],[Role]],0),MATCH("Per-minute cost",Staff_Costs[#Headers],0))*C63)</f>
        <v>#N/A</v>
      </c>
      <c r="K63" s="476" t="e">
        <f t="shared" si="7"/>
        <v>#N/A</v>
      </c>
      <c r="L63" s="476" t="e">
        <f>IF(INDEX(TARIFF_TABLE[#All], MATCH($B63,TARIFF_TABLE[[#All],[Activity]],0),MATCH("ActivityType",TARIFF_TABLE[#Headers]))="Investigation",INDEX(TARIFF_TABLE[#All], MATCH($B63,TARIFF_TABLE[[#All],[Activity]],0),MATCH("Cost",TARIFF_TABLE[#Headers])),INDEX(Staff_Costs[#All],MATCH(F63,Staff_Costs[[#All],[Role]],0),MATCH("Per-minute cost",Staff_Costs[#Headers],0))*D63)</f>
        <v>#N/A</v>
      </c>
      <c r="M63" s="476" t="e">
        <f t="shared" si="8"/>
        <v>#N/A</v>
      </c>
      <c r="N63" s="476" t="e">
        <f>IF(INDEX(TARIFF_TABLE[#All], MATCH($B63,TARIFF_TABLE[[#All],[Activity]],0),MATCH("ActivityType",TARIFF_TABLE[#Headers]))="Investigation",INDEX(TARIFF_TABLE[#All], MATCH($B63,TARIFF_TABLE[[#All],[Activity]],0),MATCH("Cost",TARIFF_TABLE[#Headers])),INDEX(Staff_Costs[#All],MATCH(G63,Staff_Costs[[#All],[Role]],0),MATCH("Per-minute cost",Staff_Costs[#Headers],0))*F63)</f>
        <v>#N/A</v>
      </c>
      <c r="O63" s="476" t="e">
        <f>IF(INDEX(TARIFF_TABLE[#All], MATCH($B63,TARIFF_TABLE[[#All],[Activity]],0),MATCH("ActivityType",TARIFF_TABLE[#Headers]))="Investigation",INDEX(TARIFF_TABLE[#All], MATCH($B63,TARIFF_TABLE[[#All],[Activity]],0),MATCH("Cost",TARIFF_TABLE[#Headers])),INDEX(Staff_Costs[#All],MATCH(H63,Staff_Costs[[#All],[Role]],0),MATCH("Per-minute cost",Staff_Costs[#Headers],0))*G63)</f>
        <v>#N/A</v>
      </c>
      <c r="P63" s="476" t="e">
        <f>INDEX('Tariff (hidden)'!$B$4:$B$133,MATCH(B63,'Tariff (hidden)'!$A$4:$A$133,0))</f>
        <v>#N/A</v>
      </c>
    </row>
    <row r="64" spans="1:28" x14ac:dyDescent="0.25">
      <c r="A64" s="147"/>
      <c r="B64" s="147"/>
      <c r="C64" s="148"/>
      <c r="D64" s="540"/>
      <c r="E64" s="538"/>
      <c r="F64" s="474"/>
      <c r="G64" s="474"/>
      <c r="H64" s="474"/>
      <c r="I64" s="474"/>
      <c r="J64" s="475" t="e">
        <f>IF(INDEX(TARIFF_TABLE[#All], MATCH($B64,TARIFF_TABLE[[#All],[Activity]],0),MATCH("ActivityType",TARIFF_TABLE[#Headers]))="Investigation",INDEX(TARIFF_TABLE[#All], MATCH($B64,TARIFF_TABLE[[#All],[Activity]],0),MATCH("Cost",TARIFF_TABLE[#Headers])),INDEX(Staff_Costs[#All],MATCH(D64,Staff_Costs[[#All],[Role]],0),MATCH("Per-minute cost",Staff_Costs[#Headers],0))*C64)</f>
        <v>#N/A</v>
      </c>
      <c r="K64" s="476" t="e">
        <f t="shared" si="7"/>
        <v>#N/A</v>
      </c>
      <c r="L64" s="476" t="e">
        <f>IF(INDEX(TARIFF_TABLE[#All], MATCH($B64,TARIFF_TABLE[[#All],[Activity]],0),MATCH("ActivityType",TARIFF_TABLE[#Headers]))="Investigation",INDEX(TARIFF_TABLE[#All], MATCH($B64,TARIFF_TABLE[[#All],[Activity]],0),MATCH("Cost",TARIFF_TABLE[#Headers])),INDEX(Staff_Costs[#All],MATCH(F64,Staff_Costs[[#All],[Role]],0),MATCH("Per-minute cost",Staff_Costs[#Headers],0))*D64)</f>
        <v>#N/A</v>
      </c>
      <c r="M64" s="476" t="e">
        <f t="shared" si="8"/>
        <v>#N/A</v>
      </c>
      <c r="N64" s="476" t="e">
        <f>IF(INDEX(TARIFF_TABLE[#All], MATCH($B64,TARIFF_TABLE[[#All],[Activity]],0),MATCH("ActivityType",TARIFF_TABLE[#Headers]))="Investigation",INDEX(TARIFF_TABLE[#All], MATCH($B64,TARIFF_TABLE[[#All],[Activity]],0),MATCH("Cost",TARIFF_TABLE[#Headers])),INDEX(Staff_Costs[#All],MATCH(G64,Staff_Costs[[#All],[Role]],0),MATCH("Per-minute cost",Staff_Costs[#Headers],0))*F64)</f>
        <v>#N/A</v>
      </c>
      <c r="O64" s="476" t="e">
        <f>IF(INDEX(TARIFF_TABLE[#All], MATCH($B64,TARIFF_TABLE[[#All],[Activity]],0),MATCH("ActivityType",TARIFF_TABLE[#Headers]))="Investigation",INDEX(TARIFF_TABLE[#All], MATCH($B64,TARIFF_TABLE[[#All],[Activity]],0),MATCH("Cost",TARIFF_TABLE[#Headers])),INDEX(Staff_Costs[#All],MATCH(H64,Staff_Costs[[#All],[Role]],0),MATCH("Per-minute cost",Staff_Costs[#Headers],0))*G64)</f>
        <v>#N/A</v>
      </c>
      <c r="P64" s="476" t="e">
        <f>INDEX('Tariff (hidden)'!$B$4:$B$133,MATCH(B64,'Tariff (hidden)'!$A$4:$A$133,0))</f>
        <v>#N/A</v>
      </c>
    </row>
    <row r="65" spans="1:16" x14ac:dyDescent="0.25">
      <c r="A65" s="147"/>
      <c r="B65" s="147"/>
      <c r="C65" s="148"/>
      <c r="D65" s="540"/>
      <c r="E65" s="538"/>
      <c r="F65" s="474"/>
      <c r="G65" s="474"/>
      <c r="H65" s="474"/>
      <c r="I65" s="474"/>
      <c r="J65" s="475" t="e">
        <f>IF(INDEX(TARIFF_TABLE[#All], MATCH($B65,TARIFF_TABLE[[#All],[Activity]],0),MATCH("ActivityType",TARIFF_TABLE[#Headers]))="Investigation",INDEX(TARIFF_TABLE[#All], MATCH($B65,TARIFF_TABLE[[#All],[Activity]],0),MATCH("Cost",TARIFF_TABLE[#Headers])),INDEX(Staff_Costs[#All],MATCH(D65,Staff_Costs[[#All],[Role]],0),MATCH("Per-minute cost",Staff_Costs[#Headers],0))*C65)</f>
        <v>#N/A</v>
      </c>
      <c r="K65" s="476" t="e">
        <f t="shared" si="7"/>
        <v>#N/A</v>
      </c>
      <c r="L65" s="476" t="e">
        <f>IF(INDEX(TARIFF_TABLE[#All], MATCH($B65,TARIFF_TABLE[[#All],[Activity]],0),MATCH("ActivityType",TARIFF_TABLE[#Headers]))="Investigation",INDEX(TARIFF_TABLE[#All], MATCH($B65,TARIFF_TABLE[[#All],[Activity]],0),MATCH("Cost",TARIFF_TABLE[#Headers])),INDEX(Staff_Costs[#All],MATCH(F65,Staff_Costs[[#All],[Role]],0),MATCH("Per-minute cost",Staff_Costs[#Headers],0))*D65)</f>
        <v>#N/A</v>
      </c>
      <c r="M65" s="476" t="e">
        <f t="shared" si="8"/>
        <v>#N/A</v>
      </c>
      <c r="N65" s="476" t="e">
        <f>IF(INDEX(TARIFF_TABLE[#All], MATCH($B65,TARIFF_TABLE[[#All],[Activity]],0),MATCH("ActivityType",TARIFF_TABLE[#Headers]))="Investigation",INDEX(TARIFF_TABLE[#All], MATCH($B65,TARIFF_TABLE[[#All],[Activity]],0),MATCH("Cost",TARIFF_TABLE[#Headers])),INDEX(Staff_Costs[#All],MATCH(G65,Staff_Costs[[#All],[Role]],0),MATCH("Per-minute cost",Staff_Costs[#Headers],0))*F65)</f>
        <v>#N/A</v>
      </c>
      <c r="O65" s="476" t="e">
        <f>IF(INDEX(TARIFF_TABLE[#All], MATCH($B65,TARIFF_TABLE[[#All],[Activity]],0),MATCH("ActivityType",TARIFF_TABLE[#Headers]))="Investigation",INDEX(TARIFF_TABLE[#All], MATCH($B65,TARIFF_TABLE[[#All],[Activity]],0),MATCH("Cost",TARIFF_TABLE[#Headers])),INDEX(Staff_Costs[#All],MATCH(H65,Staff_Costs[[#All],[Role]],0),MATCH("Per-minute cost",Staff_Costs[#Headers],0))*G65)</f>
        <v>#N/A</v>
      </c>
      <c r="P65" s="476" t="e">
        <f>INDEX('Tariff (hidden)'!$B$4:$B$133,MATCH(B65,'Tariff (hidden)'!$A$4:$A$133,0))</f>
        <v>#N/A</v>
      </c>
    </row>
    <row r="66" spans="1:16" x14ac:dyDescent="0.25">
      <c r="A66" s="147"/>
      <c r="B66" s="147"/>
      <c r="C66" s="148"/>
      <c r="D66" s="540"/>
      <c r="E66" s="538"/>
      <c r="F66" s="474"/>
      <c r="G66" s="474"/>
      <c r="H66" s="474"/>
      <c r="I66" s="474"/>
      <c r="J66" s="475" t="e">
        <f>IF(INDEX(TARIFF_TABLE[#All], MATCH($B66,TARIFF_TABLE[[#All],[Activity]],0),MATCH("ActivityType",TARIFF_TABLE[#Headers]))="Investigation",INDEX(TARIFF_TABLE[#All], MATCH($B66,TARIFF_TABLE[[#All],[Activity]],0),MATCH("Cost",TARIFF_TABLE[#Headers])),INDEX(Staff_Costs[#All],MATCH(D66,Staff_Costs[[#All],[Role]],0),MATCH("Per-minute cost",Staff_Costs[#Headers],0))*C66)</f>
        <v>#N/A</v>
      </c>
      <c r="K66" s="476" t="e">
        <f t="shared" si="7"/>
        <v>#N/A</v>
      </c>
      <c r="L66" s="476" t="e">
        <f>IF(INDEX(TARIFF_TABLE[#All], MATCH($B66,TARIFF_TABLE[[#All],[Activity]],0),MATCH("ActivityType",TARIFF_TABLE[#Headers]))="Investigation",INDEX(TARIFF_TABLE[#All], MATCH($B66,TARIFF_TABLE[[#All],[Activity]],0),MATCH("Cost",TARIFF_TABLE[#Headers])),INDEX(Staff_Costs[#All],MATCH(F66,Staff_Costs[[#All],[Role]],0),MATCH("Per-minute cost",Staff_Costs[#Headers],0))*D66)</f>
        <v>#N/A</v>
      </c>
      <c r="M66" s="476" t="e">
        <f t="shared" si="8"/>
        <v>#N/A</v>
      </c>
      <c r="N66" s="476" t="e">
        <f>IF(INDEX(TARIFF_TABLE[#All], MATCH($B66,TARIFF_TABLE[[#All],[Activity]],0),MATCH("ActivityType",TARIFF_TABLE[#Headers]))="Investigation",INDEX(TARIFF_TABLE[#All], MATCH($B66,TARIFF_TABLE[[#All],[Activity]],0),MATCH("Cost",TARIFF_TABLE[#Headers])),INDEX(Staff_Costs[#All],MATCH(G66,Staff_Costs[[#All],[Role]],0),MATCH("Per-minute cost",Staff_Costs[#Headers],0))*F66)</f>
        <v>#N/A</v>
      </c>
      <c r="O66" s="476" t="e">
        <f>IF(INDEX(TARIFF_TABLE[#All], MATCH($B66,TARIFF_TABLE[[#All],[Activity]],0),MATCH("ActivityType",TARIFF_TABLE[#Headers]))="Investigation",INDEX(TARIFF_TABLE[#All], MATCH($B66,TARIFF_TABLE[[#All],[Activity]],0),MATCH("Cost",TARIFF_TABLE[#Headers])),INDEX(Staff_Costs[#All],MATCH(H66,Staff_Costs[[#All],[Role]],0),MATCH("Per-minute cost",Staff_Costs[#Headers],0))*G66)</f>
        <v>#N/A</v>
      </c>
      <c r="P66" s="476" t="e">
        <f>INDEX('Tariff (hidden)'!$B$4:$B$133,MATCH(B66,'Tariff (hidden)'!$A$4:$A$133,0))</f>
        <v>#N/A</v>
      </c>
    </row>
    <row r="67" spans="1:16" x14ac:dyDescent="0.25">
      <c r="A67" s="147"/>
      <c r="B67" s="147"/>
      <c r="C67" s="148"/>
      <c r="D67" s="540"/>
      <c r="E67" s="538"/>
      <c r="F67" s="474"/>
      <c r="G67" s="474"/>
      <c r="H67" s="474"/>
      <c r="I67" s="474"/>
      <c r="J67" s="475" t="e">
        <f>IF(INDEX(TARIFF_TABLE[#All], MATCH($B67,TARIFF_TABLE[[#All],[Activity]],0),MATCH("ActivityType",TARIFF_TABLE[#Headers]))="Investigation",INDEX(TARIFF_TABLE[#All], MATCH($B67,TARIFF_TABLE[[#All],[Activity]],0),MATCH("Cost",TARIFF_TABLE[#Headers])),INDEX(Staff_Costs[#All],MATCH(D67,Staff_Costs[[#All],[Role]],0),MATCH("Per-minute cost",Staff_Costs[#Headers],0))*C67)</f>
        <v>#N/A</v>
      </c>
      <c r="K67" s="476" t="e">
        <f t="shared" si="7"/>
        <v>#N/A</v>
      </c>
      <c r="L67" s="476" t="e">
        <f>IF(INDEX(TARIFF_TABLE[#All], MATCH($B67,TARIFF_TABLE[[#All],[Activity]],0),MATCH("ActivityType",TARIFF_TABLE[#Headers]))="Investigation",INDEX(TARIFF_TABLE[#All], MATCH($B67,TARIFF_TABLE[[#All],[Activity]],0),MATCH("Cost",TARIFF_TABLE[#Headers])),INDEX(Staff_Costs[#All],MATCH(F67,Staff_Costs[[#All],[Role]],0),MATCH("Per-minute cost",Staff_Costs[#Headers],0))*D67)</f>
        <v>#N/A</v>
      </c>
      <c r="M67" s="476" t="e">
        <f t="shared" si="8"/>
        <v>#N/A</v>
      </c>
      <c r="N67" s="476" t="e">
        <f>IF(INDEX(TARIFF_TABLE[#All], MATCH($B67,TARIFF_TABLE[[#All],[Activity]],0),MATCH("ActivityType",TARIFF_TABLE[#Headers]))="Investigation",INDEX(TARIFF_TABLE[#All], MATCH($B67,TARIFF_TABLE[[#All],[Activity]],0),MATCH("Cost",TARIFF_TABLE[#Headers])),INDEX(Staff_Costs[#All],MATCH(G67,Staff_Costs[[#All],[Role]],0),MATCH("Per-minute cost",Staff_Costs[#Headers],0))*F67)</f>
        <v>#N/A</v>
      </c>
      <c r="O67" s="476" t="e">
        <f>IF(INDEX(TARIFF_TABLE[#All], MATCH($B67,TARIFF_TABLE[[#All],[Activity]],0),MATCH("ActivityType",TARIFF_TABLE[#Headers]))="Investigation",INDEX(TARIFF_TABLE[#All], MATCH($B67,TARIFF_TABLE[[#All],[Activity]],0),MATCH("Cost",TARIFF_TABLE[#Headers])),INDEX(Staff_Costs[#All],MATCH(H67,Staff_Costs[[#All],[Role]],0),MATCH("Per-minute cost",Staff_Costs[#Headers],0))*G67)</f>
        <v>#N/A</v>
      </c>
      <c r="P67" s="476" t="e">
        <f>INDEX('Tariff (hidden)'!$B$4:$B$133,MATCH(B67,'Tariff (hidden)'!$A$4:$A$133,0))</f>
        <v>#N/A</v>
      </c>
    </row>
    <row r="68" spans="1:16" x14ac:dyDescent="0.25">
      <c r="A68" s="147"/>
      <c r="B68" s="147"/>
      <c r="C68" s="148"/>
      <c r="D68" s="540"/>
      <c r="E68" s="538"/>
      <c r="F68" s="474"/>
      <c r="G68" s="474"/>
      <c r="H68" s="474"/>
      <c r="I68" s="474"/>
      <c r="J68" s="475" t="e">
        <f>IF(INDEX(TARIFF_TABLE[#All], MATCH($B68,TARIFF_TABLE[[#All],[Activity]],0),MATCH("ActivityType",TARIFF_TABLE[#Headers]))="Investigation",INDEX(TARIFF_TABLE[#All], MATCH($B68,TARIFF_TABLE[[#All],[Activity]],0),MATCH("Cost",TARIFF_TABLE[#Headers])),INDEX(Staff_Costs[#All],MATCH(D68,Staff_Costs[[#All],[Role]],0),MATCH("Per-minute cost",Staff_Costs[#Headers],0))*C68)</f>
        <v>#N/A</v>
      </c>
      <c r="K68" s="476" t="e">
        <f t="shared" si="7"/>
        <v>#N/A</v>
      </c>
      <c r="L68" s="476" t="e">
        <f>IF(INDEX(TARIFF_TABLE[#All], MATCH($B68,TARIFF_TABLE[[#All],[Activity]],0),MATCH("ActivityType",TARIFF_TABLE[#Headers]))="Investigation",INDEX(TARIFF_TABLE[#All], MATCH($B68,TARIFF_TABLE[[#All],[Activity]],0),MATCH("Cost",TARIFF_TABLE[#Headers])),INDEX(Staff_Costs[#All],MATCH(F68,Staff_Costs[[#All],[Role]],0),MATCH("Per-minute cost",Staff_Costs[#Headers],0))*D68)</f>
        <v>#N/A</v>
      </c>
      <c r="M68" s="476" t="e">
        <f t="shared" si="8"/>
        <v>#N/A</v>
      </c>
      <c r="N68" s="476" t="e">
        <f>IF(INDEX(TARIFF_TABLE[#All], MATCH($B68,TARIFF_TABLE[[#All],[Activity]],0),MATCH("ActivityType",TARIFF_TABLE[#Headers]))="Investigation",INDEX(TARIFF_TABLE[#All], MATCH($B68,TARIFF_TABLE[[#All],[Activity]],0),MATCH("Cost",TARIFF_TABLE[#Headers])),INDEX(Staff_Costs[#All],MATCH(G68,Staff_Costs[[#All],[Role]],0),MATCH("Per-minute cost",Staff_Costs[#Headers],0))*F68)</f>
        <v>#N/A</v>
      </c>
      <c r="O68" s="476" t="e">
        <f>IF(INDEX(TARIFF_TABLE[#All], MATCH($B68,TARIFF_TABLE[[#All],[Activity]],0),MATCH("ActivityType",TARIFF_TABLE[#Headers]))="Investigation",INDEX(TARIFF_TABLE[#All], MATCH($B68,TARIFF_TABLE[[#All],[Activity]],0),MATCH("Cost",TARIFF_TABLE[#Headers])),INDEX(Staff_Costs[#All],MATCH(H68,Staff_Costs[[#All],[Role]],0),MATCH("Per-minute cost",Staff_Costs[#Headers],0))*G68)</f>
        <v>#N/A</v>
      </c>
      <c r="P68" s="476" t="e">
        <f>INDEX('Tariff (hidden)'!$B$4:$B$133,MATCH(B68,'Tariff (hidden)'!$A$4:$A$133,0))</f>
        <v>#N/A</v>
      </c>
    </row>
    <row r="69" spans="1:16" x14ac:dyDescent="0.25">
      <c r="A69" s="147"/>
      <c r="B69" s="147"/>
      <c r="C69" s="148"/>
      <c r="D69" s="540"/>
      <c r="E69" s="538"/>
      <c r="F69" s="474"/>
      <c r="G69" s="474"/>
      <c r="H69" s="474"/>
      <c r="I69" s="474"/>
      <c r="J69" s="475" t="e">
        <f>IF(INDEX(TARIFF_TABLE[#All], MATCH($B69,TARIFF_TABLE[[#All],[Activity]],0),MATCH("ActivityType",TARIFF_TABLE[#Headers]))="Investigation",INDEX(TARIFF_TABLE[#All], MATCH($B69,TARIFF_TABLE[[#All],[Activity]],0),MATCH("Cost",TARIFF_TABLE[#Headers])),INDEX(Staff_Costs[#All],MATCH(D69,Staff_Costs[[#All],[Role]],0),MATCH("Per-minute cost",Staff_Costs[#Headers],0))*C69)</f>
        <v>#N/A</v>
      </c>
      <c r="K69" s="476" t="e">
        <f t="shared" si="7"/>
        <v>#N/A</v>
      </c>
      <c r="L69" s="476" t="e">
        <f>IF(INDEX(TARIFF_TABLE[#All], MATCH($B69,TARIFF_TABLE[[#All],[Activity]],0),MATCH("ActivityType",TARIFF_TABLE[#Headers]))="Investigation",INDEX(TARIFF_TABLE[#All], MATCH($B69,TARIFF_TABLE[[#All],[Activity]],0),MATCH("Cost",TARIFF_TABLE[#Headers])),INDEX(Staff_Costs[#All],MATCH(F69,Staff_Costs[[#All],[Role]],0),MATCH("Per-minute cost",Staff_Costs[#Headers],0))*D69)</f>
        <v>#N/A</v>
      </c>
      <c r="M69" s="476" t="e">
        <f t="shared" si="8"/>
        <v>#N/A</v>
      </c>
      <c r="N69" s="476" t="e">
        <f>IF(INDEX(TARIFF_TABLE[#All], MATCH($B69,TARIFF_TABLE[[#All],[Activity]],0),MATCH("ActivityType",TARIFF_TABLE[#Headers]))="Investigation",INDEX(TARIFF_TABLE[#All], MATCH($B69,TARIFF_TABLE[[#All],[Activity]],0),MATCH("Cost",TARIFF_TABLE[#Headers])),INDEX(Staff_Costs[#All],MATCH(G69,Staff_Costs[[#All],[Role]],0),MATCH("Per-minute cost",Staff_Costs[#Headers],0))*F69)</f>
        <v>#N/A</v>
      </c>
      <c r="O69" s="476" t="e">
        <f>IF(INDEX(TARIFF_TABLE[#All], MATCH($B69,TARIFF_TABLE[[#All],[Activity]],0),MATCH("ActivityType",TARIFF_TABLE[#Headers]))="Investigation",INDEX(TARIFF_TABLE[#All], MATCH($B69,TARIFF_TABLE[[#All],[Activity]],0),MATCH("Cost",TARIFF_TABLE[#Headers])),INDEX(Staff_Costs[#All],MATCH(H69,Staff_Costs[[#All],[Role]],0),MATCH("Per-minute cost",Staff_Costs[#Headers],0))*G69)</f>
        <v>#N/A</v>
      </c>
      <c r="P69" s="476" t="e">
        <f>INDEX('Tariff (hidden)'!$B$4:$B$133,MATCH(B69,'Tariff (hidden)'!$A$4:$A$133,0))</f>
        <v>#N/A</v>
      </c>
    </row>
    <row r="70" spans="1:16" x14ac:dyDescent="0.25">
      <c r="A70" s="147"/>
      <c r="B70" s="147"/>
      <c r="C70" s="148"/>
      <c r="D70" s="540"/>
      <c r="E70" s="538"/>
      <c r="F70" s="474"/>
      <c r="G70" s="474"/>
      <c r="H70" s="474"/>
      <c r="I70" s="474"/>
      <c r="J70" s="475" t="e">
        <f>IF(INDEX(TARIFF_TABLE[#All], MATCH($B70,TARIFF_TABLE[[#All],[Activity]],0),MATCH("ActivityType",TARIFF_TABLE[#Headers]))="Investigation",INDEX(TARIFF_TABLE[#All], MATCH($B70,TARIFF_TABLE[[#All],[Activity]],0),MATCH("Cost",TARIFF_TABLE[#Headers])),INDEX(Staff_Costs[#All],MATCH(D70,Staff_Costs[[#All],[Role]],0),MATCH("Per-minute cost",Staff_Costs[#Headers],0))*C70)</f>
        <v>#N/A</v>
      </c>
      <c r="K70" s="476" t="e">
        <f t="shared" si="7"/>
        <v>#N/A</v>
      </c>
      <c r="L70" s="476" t="e">
        <f>IF(INDEX(TARIFF_TABLE[#All], MATCH($B70,TARIFF_TABLE[[#All],[Activity]],0),MATCH("ActivityType",TARIFF_TABLE[#Headers]))="Investigation",INDEX(TARIFF_TABLE[#All], MATCH($B70,TARIFF_TABLE[[#All],[Activity]],0),MATCH("Cost",TARIFF_TABLE[#Headers])),INDEX(Staff_Costs[#All],MATCH(F70,Staff_Costs[[#All],[Role]],0),MATCH("Per-minute cost",Staff_Costs[#Headers],0))*D70)</f>
        <v>#N/A</v>
      </c>
      <c r="M70" s="476" t="e">
        <f t="shared" si="8"/>
        <v>#N/A</v>
      </c>
      <c r="N70" s="476" t="e">
        <f>IF(INDEX(TARIFF_TABLE[#All], MATCH($B70,TARIFF_TABLE[[#All],[Activity]],0),MATCH("ActivityType",TARIFF_TABLE[#Headers]))="Investigation",INDEX(TARIFF_TABLE[#All], MATCH($B70,TARIFF_TABLE[[#All],[Activity]],0),MATCH("Cost",TARIFF_TABLE[#Headers])),INDEX(Staff_Costs[#All],MATCH(G70,Staff_Costs[[#All],[Role]],0),MATCH("Per-minute cost",Staff_Costs[#Headers],0))*F70)</f>
        <v>#N/A</v>
      </c>
      <c r="O70" s="476" t="e">
        <f>IF(INDEX(TARIFF_TABLE[#All], MATCH($B70,TARIFF_TABLE[[#All],[Activity]],0),MATCH("ActivityType",TARIFF_TABLE[#Headers]))="Investigation",INDEX(TARIFF_TABLE[#All], MATCH($B70,TARIFF_TABLE[[#All],[Activity]],0),MATCH("Cost",TARIFF_TABLE[#Headers])),INDEX(Staff_Costs[#All],MATCH(H70,Staff_Costs[[#All],[Role]],0),MATCH("Per-minute cost",Staff_Costs[#Headers],0))*G70)</f>
        <v>#N/A</v>
      </c>
      <c r="P70" s="476" t="e">
        <f>INDEX('Tariff (hidden)'!$B$4:$B$133,MATCH(B70,'Tariff (hidden)'!$A$4:$A$133,0))</f>
        <v>#N/A</v>
      </c>
    </row>
    <row r="71" spans="1:16" x14ac:dyDescent="0.25">
      <c r="A71" s="147"/>
      <c r="B71" s="147"/>
      <c r="C71" s="148"/>
      <c r="D71" s="540"/>
      <c r="E71" s="538"/>
      <c r="F71" s="474"/>
      <c r="G71" s="474"/>
      <c r="H71" s="474"/>
      <c r="I71" s="474"/>
      <c r="J71" s="475" t="e">
        <f>IF(INDEX(TARIFF_TABLE[#All], MATCH($B71,TARIFF_TABLE[[#All],[Activity]],0),MATCH("ActivityType",TARIFF_TABLE[#Headers]))="Investigation",INDEX(TARIFF_TABLE[#All], MATCH($B71,TARIFF_TABLE[[#All],[Activity]],0),MATCH("Cost",TARIFF_TABLE[#Headers])),INDEX(Staff_Costs[#All],MATCH(D71,Staff_Costs[[#All],[Role]],0),MATCH("Per-minute cost",Staff_Costs[#Headers],0))*C71)</f>
        <v>#N/A</v>
      </c>
      <c r="K71" s="476" t="e">
        <f t="shared" si="7"/>
        <v>#N/A</v>
      </c>
      <c r="L71" s="476" t="e">
        <f>IF(INDEX(TARIFF_TABLE[#All], MATCH($B71,TARIFF_TABLE[[#All],[Activity]],0),MATCH("ActivityType",TARIFF_TABLE[#Headers]))="Investigation",INDEX(TARIFF_TABLE[#All], MATCH($B71,TARIFF_TABLE[[#All],[Activity]],0),MATCH("Cost",TARIFF_TABLE[#Headers])),INDEX(Staff_Costs[#All],MATCH(F71,Staff_Costs[[#All],[Role]],0),MATCH("Per-minute cost",Staff_Costs[#Headers],0))*D71)</f>
        <v>#N/A</v>
      </c>
      <c r="M71" s="476" t="e">
        <f t="shared" si="8"/>
        <v>#N/A</v>
      </c>
      <c r="N71" s="476" t="e">
        <f>IF(INDEX(TARIFF_TABLE[#All], MATCH($B71,TARIFF_TABLE[[#All],[Activity]],0),MATCH("ActivityType",TARIFF_TABLE[#Headers]))="Investigation",INDEX(TARIFF_TABLE[#All], MATCH($B71,TARIFF_TABLE[[#All],[Activity]],0),MATCH("Cost",TARIFF_TABLE[#Headers])),INDEX(Staff_Costs[#All],MATCH(G71,Staff_Costs[[#All],[Role]],0),MATCH("Per-minute cost",Staff_Costs[#Headers],0))*F71)</f>
        <v>#N/A</v>
      </c>
      <c r="O71" s="476" t="e">
        <f>IF(INDEX(TARIFF_TABLE[#All], MATCH($B71,TARIFF_TABLE[[#All],[Activity]],0),MATCH("ActivityType",TARIFF_TABLE[#Headers]))="Investigation",INDEX(TARIFF_TABLE[#All], MATCH($B71,TARIFF_TABLE[[#All],[Activity]],0),MATCH("Cost",TARIFF_TABLE[#Headers])),INDEX(Staff_Costs[#All],MATCH(H71,Staff_Costs[[#All],[Role]],0),MATCH("Per-minute cost",Staff_Costs[#Headers],0))*G71)</f>
        <v>#N/A</v>
      </c>
      <c r="P71" s="476" t="e">
        <f>INDEX('Tariff (hidden)'!$B$4:$B$133,MATCH(B71,'Tariff (hidden)'!$A$4:$A$133,0))</f>
        <v>#N/A</v>
      </c>
    </row>
    <row r="72" spans="1:16" x14ac:dyDescent="0.25">
      <c r="A72" s="147"/>
      <c r="B72" s="147"/>
      <c r="C72" s="148"/>
      <c r="D72" s="540"/>
      <c r="E72" s="538"/>
      <c r="F72" s="474"/>
      <c r="G72" s="474"/>
      <c r="H72" s="474"/>
      <c r="I72" s="474"/>
      <c r="J72" s="475" t="e">
        <f>IF(INDEX(TARIFF_TABLE[#All], MATCH($B72,TARIFF_TABLE[[#All],[Activity]],0),MATCH("ActivityType",TARIFF_TABLE[#Headers]))="Investigation",INDEX(TARIFF_TABLE[#All], MATCH($B72,TARIFF_TABLE[[#All],[Activity]],0),MATCH("Cost",TARIFF_TABLE[#Headers])),INDEX(Staff_Costs[#All],MATCH(D72,Staff_Costs[[#All],[Role]],0),MATCH("Per-minute cost",Staff_Costs[#Headers],0))*C72)</f>
        <v>#N/A</v>
      </c>
      <c r="K72" s="476" t="e">
        <f t="shared" si="7"/>
        <v>#N/A</v>
      </c>
      <c r="L72" s="476" t="e">
        <f>IF(INDEX(TARIFF_TABLE[#All], MATCH($B72,TARIFF_TABLE[[#All],[Activity]],0),MATCH("ActivityType",TARIFF_TABLE[#Headers]))="Investigation",INDEX(TARIFF_TABLE[#All], MATCH($B72,TARIFF_TABLE[[#All],[Activity]],0),MATCH("Cost",TARIFF_TABLE[#Headers])),INDEX(Staff_Costs[#All],MATCH(F72,Staff_Costs[[#All],[Role]],0),MATCH("Per-minute cost",Staff_Costs[#Headers],0))*D72)</f>
        <v>#N/A</v>
      </c>
      <c r="M72" s="476" t="e">
        <f t="shared" si="8"/>
        <v>#N/A</v>
      </c>
      <c r="N72" s="476" t="e">
        <f>IF(INDEX(TARIFF_TABLE[#All], MATCH($B72,TARIFF_TABLE[[#All],[Activity]],0),MATCH("ActivityType",TARIFF_TABLE[#Headers]))="Investigation",INDEX(TARIFF_TABLE[#All], MATCH($B72,TARIFF_TABLE[[#All],[Activity]],0),MATCH("Cost",TARIFF_TABLE[#Headers])),INDEX(Staff_Costs[#All],MATCH(G72,Staff_Costs[[#All],[Role]],0),MATCH("Per-minute cost",Staff_Costs[#Headers],0))*F72)</f>
        <v>#N/A</v>
      </c>
      <c r="O72" s="476" t="e">
        <f>IF(INDEX(TARIFF_TABLE[#All], MATCH($B72,TARIFF_TABLE[[#All],[Activity]],0),MATCH("ActivityType",TARIFF_TABLE[#Headers]))="Investigation",INDEX(TARIFF_TABLE[#All], MATCH($B72,TARIFF_TABLE[[#All],[Activity]],0),MATCH("Cost",TARIFF_TABLE[#Headers])),INDEX(Staff_Costs[#All],MATCH(H72,Staff_Costs[[#All],[Role]],0),MATCH("Per-minute cost",Staff_Costs[#Headers],0))*G72)</f>
        <v>#N/A</v>
      </c>
      <c r="P72" s="476" t="e">
        <f>INDEX('Tariff (hidden)'!$B$4:$B$133,MATCH(B72,'Tariff (hidden)'!$A$4:$A$133,0))</f>
        <v>#N/A</v>
      </c>
    </row>
    <row r="73" spans="1:16" x14ac:dyDescent="0.25">
      <c r="A73" s="147"/>
      <c r="B73" s="147"/>
      <c r="C73" s="148"/>
      <c r="D73" s="540"/>
      <c r="E73" s="538"/>
      <c r="F73" s="474"/>
      <c r="G73" s="474"/>
      <c r="H73" s="474"/>
      <c r="I73" s="474"/>
      <c r="J73" s="475" t="e">
        <f>IF(INDEX(TARIFF_TABLE[#All], MATCH($B73,TARIFF_TABLE[[#All],[Activity]],0),MATCH("ActivityType",TARIFF_TABLE[#Headers]))="Investigation",INDEX(TARIFF_TABLE[#All], MATCH($B73,TARIFF_TABLE[[#All],[Activity]],0),MATCH("Cost",TARIFF_TABLE[#Headers])),INDEX(Staff_Costs[#All],MATCH(D73,Staff_Costs[[#All],[Role]],0),MATCH("Per-minute cost",Staff_Costs[#Headers],0))*C73)</f>
        <v>#N/A</v>
      </c>
      <c r="K73" s="476" t="e">
        <f t="shared" si="7"/>
        <v>#N/A</v>
      </c>
      <c r="L73" s="476" t="e">
        <f>IF(INDEX(TARIFF_TABLE[#All], MATCH($B73,TARIFF_TABLE[[#All],[Activity]],0),MATCH("ActivityType",TARIFF_TABLE[#Headers]))="Investigation",INDEX(TARIFF_TABLE[#All], MATCH($B73,TARIFF_TABLE[[#All],[Activity]],0),MATCH("Cost",TARIFF_TABLE[#Headers])),INDEX(Staff_Costs[#All],MATCH(F73,Staff_Costs[[#All],[Role]],0),MATCH("Per-minute cost",Staff_Costs[#Headers],0))*D73)</f>
        <v>#N/A</v>
      </c>
      <c r="M73" s="476" t="e">
        <f t="shared" si="8"/>
        <v>#N/A</v>
      </c>
      <c r="N73" s="476" t="e">
        <f>IF(INDEX(TARIFF_TABLE[#All], MATCH($B73,TARIFF_TABLE[[#All],[Activity]],0),MATCH("ActivityType",TARIFF_TABLE[#Headers]))="Investigation",INDEX(TARIFF_TABLE[#All], MATCH($B73,TARIFF_TABLE[[#All],[Activity]],0),MATCH("Cost",TARIFF_TABLE[#Headers])),INDEX(Staff_Costs[#All],MATCH(G73,Staff_Costs[[#All],[Role]],0),MATCH("Per-minute cost",Staff_Costs[#Headers],0))*F73)</f>
        <v>#N/A</v>
      </c>
      <c r="O73" s="476" t="e">
        <f>IF(INDEX(TARIFF_TABLE[#All], MATCH($B73,TARIFF_TABLE[[#All],[Activity]],0),MATCH("ActivityType",TARIFF_TABLE[#Headers]))="Investigation",INDEX(TARIFF_TABLE[#All], MATCH($B73,TARIFF_TABLE[[#All],[Activity]],0),MATCH("Cost",TARIFF_TABLE[#Headers])),INDEX(Staff_Costs[#All],MATCH(H73,Staff_Costs[[#All],[Role]],0),MATCH("Per-minute cost",Staff_Costs[#Headers],0))*G73)</f>
        <v>#N/A</v>
      </c>
      <c r="P73" s="476" t="e">
        <f>INDEX('Tariff (hidden)'!$B$4:$B$133,MATCH(B73,'Tariff (hidden)'!$A$4:$A$133,0))</f>
        <v>#N/A</v>
      </c>
    </row>
    <row r="74" spans="1:16" x14ac:dyDescent="0.25">
      <c r="A74" s="147"/>
      <c r="B74" s="147"/>
      <c r="C74" s="148"/>
      <c r="D74" s="540"/>
      <c r="E74" s="538"/>
      <c r="F74" s="474"/>
      <c r="G74" s="474"/>
      <c r="H74" s="474"/>
      <c r="I74" s="474"/>
      <c r="J74" s="475" t="e">
        <f>IF(INDEX(TARIFF_TABLE[#All], MATCH($B74,TARIFF_TABLE[[#All],[Activity]],0),MATCH("ActivityType",TARIFF_TABLE[#Headers]))="Investigation",INDEX(TARIFF_TABLE[#All], MATCH($B74,TARIFF_TABLE[[#All],[Activity]],0),MATCH("Cost",TARIFF_TABLE[#Headers])),INDEX(Staff_Costs[#All],MATCH(D74,Staff_Costs[[#All],[Role]],0),MATCH("Per-minute cost",Staff_Costs[#Headers],0))*C74)</f>
        <v>#N/A</v>
      </c>
      <c r="K74" s="476" t="e">
        <f t="shared" si="7"/>
        <v>#N/A</v>
      </c>
      <c r="L74" s="476" t="e">
        <f>IF(INDEX(TARIFF_TABLE[#All], MATCH($B74,TARIFF_TABLE[[#All],[Activity]],0),MATCH("ActivityType",TARIFF_TABLE[#Headers]))="Investigation",INDEX(TARIFF_TABLE[#All], MATCH($B74,TARIFF_TABLE[[#All],[Activity]],0),MATCH("Cost",TARIFF_TABLE[#Headers])),INDEX(Staff_Costs[#All],MATCH(F74,Staff_Costs[[#All],[Role]],0),MATCH("Per-minute cost",Staff_Costs[#Headers],0))*D74)</f>
        <v>#N/A</v>
      </c>
      <c r="M74" s="476" t="e">
        <f t="shared" si="8"/>
        <v>#N/A</v>
      </c>
      <c r="N74" s="476" t="e">
        <f>IF(INDEX(TARIFF_TABLE[#All], MATCH($B74,TARIFF_TABLE[[#All],[Activity]],0),MATCH("ActivityType",TARIFF_TABLE[#Headers]))="Investigation",INDEX(TARIFF_TABLE[#All], MATCH($B74,TARIFF_TABLE[[#All],[Activity]],0),MATCH("Cost",TARIFF_TABLE[#Headers])),INDEX(Staff_Costs[#All],MATCH(G74,Staff_Costs[[#All],[Role]],0),MATCH("Per-minute cost",Staff_Costs[#Headers],0))*F74)</f>
        <v>#N/A</v>
      </c>
      <c r="O74" s="476" t="e">
        <f>IF(INDEX(TARIFF_TABLE[#All], MATCH($B74,TARIFF_TABLE[[#All],[Activity]],0),MATCH("ActivityType",TARIFF_TABLE[#Headers]))="Investigation",INDEX(TARIFF_TABLE[#All], MATCH($B74,TARIFF_TABLE[[#All],[Activity]],0),MATCH("Cost",TARIFF_TABLE[#Headers])),INDEX(Staff_Costs[#All],MATCH(H74,Staff_Costs[[#All],[Role]],0),MATCH("Per-minute cost",Staff_Costs[#Headers],0))*G74)</f>
        <v>#N/A</v>
      </c>
      <c r="P74" s="476" t="e">
        <f>INDEX('Tariff (hidden)'!$B$4:$B$133,MATCH(B74,'Tariff (hidden)'!$A$4:$A$133,0))</f>
        <v>#N/A</v>
      </c>
    </row>
    <row r="75" spans="1:16" x14ac:dyDescent="0.25">
      <c r="A75" s="147"/>
      <c r="B75" s="147"/>
      <c r="C75" s="148"/>
      <c r="D75" s="540"/>
      <c r="E75" s="538"/>
      <c r="F75" s="474"/>
      <c r="G75" s="474"/>
      <c r="H75" s="474"/>
      <c r="I75" s="474"/>
      <c r="J75" s="475" t="e">
        <f>IF(INDEX(TARIFF_TABLE[#All], MATCH($B75,TARIFF_TABLE[[#All],[Activity]],0),MATCH("ActivityType",TARIFF_TABLE[#Headers]))="Investigation",INDEX(TARIFF_TABLE[#All], MATCH($B75,TARIFF_TABLE[[#All],[Activity]],0),MATCH("Cost",TARIFF_TABLE[#Headers])),INDEX(Staff_Costs[#All],MATCH(D75,Staff_Costs[[#All],[Role]],0),MATCH("Per-minute cost",Staff_Costs[#Headers],0))*C75)</f>
        <v>#N/A</v>
      </c>
      <c r="K75" s="476" t="e">
        <f t="shared" si="7"/>
        <v>#N/A</v>
      </c>
      <c r="L75" s="476" t="e">
        <f>IF(INDEX(TARIFF_TABLE[#All], MATCH($B75,TARIFF_TABLE[[#All],[Activity]],0),MATCH("ActivityType",TARIFF_TABLE[#Headers]))="Investigation",INDEX(TARIFF_TABLE[#All], MATCH($B75,TARIFF_TABLE[[#All],[Activity]],0),MATCH("Cost",TARIFF_TABLE[#Headers])),INDEX(Staff_Costs[#All],MATCH(F75,Staff_Costs[[#All],[Role]],0),MATCH("Per-minute cost",Staff_Costs[#Headers],0))*D75)</f>
        <v>#N/A</v>
      </c>
      <c r="M75" s="476" t="e">
        <f t="shared" si="8"/>
        <v>#N/A</v>
      </c>
      <c r="N75" s="476" t="e">
        <f>IF(INDEX(TARIFF_TABLE[#All], MATCH($B75,TARIFF_TABLE[[#All],[Activity]],0),MATCH("ActivityType",TARIFF_TABLE[#Headers]))="Investigation",INDEX(TARIFF_TABLE[#All], MATCH($B75,TARIFF_TABLE[[#All],[Activity]],0),MATCH("Cost",TARIFF_TABLE[#Headers])),INDEX(Staff_Costs[#All],MATCH(G75,Staff_Costs[[#All],[Role]],0),MATCH("Per-minute cost",Staff_Costs[#Headers],0))*F75)</f>
        <v>#N/A</v>
      </c>
      <c r="O75" s="476" t="e">
        <f>IF(INDEX(TARIFF_TABLE[#All], MATCH($B75,TARIFF_TABLE[[#All],[Activity]],0),MATCH("ActivityType",TARIFF_TABLE[#Headers]))="Investigation",INDEX(TARIFF_TABLE[#All], MATCH($B75,TARIFF_TABLE[[#All],[Activity]],0),MATCH("Cost",TARIFF_TABLE[#Headers])),INDEX(Staff_Costs[#All],MATCH(H75,Staff_Costs[[#All],[Role]],0),MATCH("Per-minute cost",Staff_Costs[#Headers],0))*G75)</f>
        <v>#N/A</v>
      </c>
      <c r="P75" s="476" t="e">
        <f>INDEX('Tariff (hidden)'!$B$4:$B$133,MATCH(B75,'Tariff (hidden)'!$A$4:$A$133,0))</f>
        <v>#N/A</v>
      </c>
    </row>
    <row r="76" spans="1:16" x14ac:dyDescent="0.25">
      <c r="A76" s="147"/>
      <c r="B76" s="147"/>
      <c r="C76" s="148"/>
      <c r="D76" s="540"/>
      <c r="E76" s="538"/>
      <c r="F76" s="474"/>
      <c r="G76" s="474"/>
      <c r="H76" s="474"/>
      <c r="I76" s="474"/>
      <c r="J76" s="475" t="e">
        <f>IF(INDEX(TARIFF_TABLE[#All], MATCH($B76,TARIFF_TABLE[[#All],[Activity]],0),MATCH("ActivityType",TARIFF_TABLE[#Headers]))="Investigation",INDEX(TARIFF_TABLE[#All], MATCH($B76,TARIFF_TABLE[[#All],[Activity]],0),MATCH("Cost",TARIFF_TABLE[#Headers])),INDEX(Staff_Costs[#All],MATCH(D76,Staff_Costs[[#All],[Role]],0),MATCH("Per-minute cost",Staff_Costs[#Headers],0))*C76)</f>
        <v>#N/A</v>
      </c>
      <c r="K76" s="476" t="e">
        <f t="shared" si="7"/>
        <v>#N/A</v>
      </c>
      <c r="L76" s="476" t="e">
        <f>IF(INDEX(TARIFF_TABLE[#All], MATCH($B76,TARIFF_TABLE[[#All],[Activity]],0),MATCH("ActivityType",TARIFF_TABLE[#Headers]))="Investigation",INDEX(TARIFF_TABLE[#All], MATCH($B76,TARIFF_TABLE[[#All],[Activity]],0),MATCH("Cost",TARIFF_TABLE[#Headers])),INDEX(Staff_Costs[#All],MATCH(F76,Staff_Costs[[#All],[Role]],0),MATCH("Per-minute cost",Staff_Costs[#Headers],0))*D76)</f>
        <v>#N/A</v>
      </c>
      <c r="M76" s="476" t="e">
        <f t="shared" si="8"/>
        <v>#N/A</v>
      </c>
      <c r="N76" s="476" t="e">
        <f>IF(INDEX(TARIFF_TABLE[#All], MATCH($B76,TARIFF_TABLE[[#All],[Activity]],0),MATCH("ActivityType",TARIFF_TABLE[#Headers]))="Investigation",INDEX(TARIFF_TABLE[#All], MATCH($B76,TARIFF_TABLE[[#All],[Activity]],0),MATCH("Cost",TARIFF_TABLE[#Headers])),INDEX(Staff_Costs[#All],MATCH(G76,Staff_Costs[[#All],[Role]],0),MATCH("Per-minute cost",Staff_Costs[#Headers],0))*F76)</f>
        <v>#N/A</v>
      </c>
      <c r="O76" s="476" t="e">
        <f>IF(INDEX(TARIFF_TABLE[#All], MATCH($B76,TARIFF_TABLE[[#All],[Activity]],0),MATCH("ActivityType",TARIFF_TABLE[#Headers]))="Investigation",INDEX(TARIFF_TABLE[#All], MATCH($B76,TARIFF_TABLE[[#All],[Activity]],0),MATCH("Cost",TARIFF_TABLE[#Headers])),INDEX(Staff_Costs[#All],MATCH(H76,Staff_Costs[[#All],[Role]],0),MATCH("Per-minute cost",Staff_Costs[#Headers],0))*G76)</f>
        <v>#N/A</v>
      </c>
      <c r="P76" s="476" t="e">
        <f>INDEX('Tariff (hidden)'!$B$4:$B$133,MATCH(B76,'Tariff (hidden)'!$A$4:$A$133,0))</f>
        <v>#N/A</v>
      </c>
    </row>
    <row r="77" spans="1:16" x14ac:dyDescent="0.25">
      <c r="A77" s="147"/>
      <c r="B77" s="147"/>
      <c r="C77" s="148"/>
      <c r="D77" s="540"/>
      <c r="E77" s="538"/>
      <c r="F77" s="474"/>
      <c r="G77" s="474"/>
      <c r="H77" s="474"/>
      <c r="I77" s="474"/>
      <c r="J77" s="475" t="e">
        <f>IF(INDEX(TARIFF_TABLE[#All], MATCH($B77,TARIFF_TABLE[[#All],[Activity]],0),MATCH("ActivityType",TARIFF_TABLE[#Headers]))="Investigation",INDEX(TARIFF_TABLE[#All], MATCH($B77,TARIFF_TABLE[[#All],[Activity]],0),MATCH("Cost",TARIFF_TABLE[#Headers])),INDEX(Staff_Costs[#All],MATCH(D77,Staff_Costs[[#All],[Role]],0),MATCH("Per-minute cost",Staff_Costs[#Headers],0))*C77)</f>
        <v>#N/A</v>
      </c>
      <c r="K77" s="476" t="e">
        <f t="shared" si="7"/>
        <v>#N/A</v>
      </c>
      <c r="L77" s="476" t="e">
        <f>IF(INDEX(TARIFF_TABLE[#All], MATCH($B77,TARIFF_TABLE[[#All],[Activity]],0),MATCH("ActivityType",TARIFF_TABLE[#Headers]))="Investigation",INDEX(TARIFF_TABLE[#All], MATCH($B77,TARIFF_TABLE[[#All],[Activity]],0),MATCH("Cost",TARIFF_TABLE[#Headers])),INDEX(Staff_Costs[#All],MATCH(F77,Staff_Costs[[#All],[Role]],0),MATCH("Per-minute cost",Staff_Costs[#Headers],0))*D77)</f>
        <v>#N/A</v>
      </c>
      <c r="M77" s="476" t="e">
        <f t="shared" si="8"/>
        <v>#N/A</v>
      </c>
      <c r="N77" s="476" t="e">
        <f>IF(INDEX(TARIFF_TABLE[#All], MATCH($B77,TARIFF_TABLE[[#All],[Activity]],0),MATCH("ActivityType",TARIFF_TABLE[#Headers]))="Investigation",INDEX(TARIFF_TABLE[#All], MATCH($B77,TARIFF_TABLE[[#All],[Activity]],0),MATCH("Cost",TARIFF_TABLE[#Headers])),INDEX(Staff_Costs[#All],MATCH(G77,Staff_Costs[[#All],[Role]],0),MATCH("Per-minute cost",Staff_Costs[#Headers],0))*F77)</f>
        <v>#N/A</v>
      </c>
      <c r="O77" s="476" t="e">
        <f>IF(INDEX(TARIFF_TABLE[#All], MATCH($B77,TARIFF_TABLE[[#All],[Activity]],0),MATCH("ActivityType",TARIFF_TABLE[#Headers]))="Investigation",INDEX(TARIFF_TABLE[#All], MATCH($B77,TARIFF_TABLE[[#All],[Activity]],0),MATCH("Cost",TARIFF_TABLE[#Headers])),INDEX(Staff_Costs[#All],MATCH(H77,Staff_Costs[[#All],[Role]],0),MATCH("Per-minute cost",Staff_Costs[#Headers],0))*G77)</f>
        <v>#N/A</v>
      </c>
      <c r="P77" s="476" t="e">
        <f>INDEX('Tariff (hidden)'!$B$4:$B$133,MATCH(B77,'Tariff (hidden)'!$A$4:$A$133,0))</f>
        <v>#N/A</v>
      </c>
    </row>
    <row r="78" spans="1:16" x14ac:dyDescent="0.25">
      <c r="A78" s="147"/>
      <c r="B78" s="147"/>
      <c r="C78" s="148"/>
      <c r="D78" s="540"/>
      <c r="E78" s="538"/>
      <c r="F78" s="474"/>
      <c r="G78" s="474"/>
      <c r="H78" s="474"/>
      <c r="I78" s="474"/>
      <c r="J78" s="475" t="e">
        <f>IF(INDEX(TARIFF_TABLE[#All], MATCH($B78,TARIFF_TABLE[[#All],[Activity]],0),MATCH("ActivityType",TARIFF_TABLE[#Headers]))="Investigation",INDEX(TARIFF_TABLE[#All], MATCH($B78,TARIFF_TABLE[[#All],[Activity]],0),MATCH("Cost",TARIFF_TABLE[#Headers])),INDEX(Staff_Costs[#All],MATCH(D78,Staff_Costs[[#All],[Role]],0),MATCH("Per-minute cost",Staff_Costs[#Headers],0))*C78)</f>
        <v>#N/A</v>
      </c>
      <c r="K78" s="476" t="e">
        <f t="shared" si="7"/>
        <v>#N/A</v>
      </c>
      <c r="L78" s="476" t="e">
        <f>IF(INDEX(TARIFF_TABLE[#All], MATCH($B78,TARIFF_TABLE[[#All],[Activity]],0),MATCH("ActivityType",TARIFF_TABLE[#Headers]))="Investigation",INDEX(TARIFF_TABLE[#All], MATCH($B78,TARIFF_TABLE[[#All],[Activity]],0),MATCH("Cost",TARIFF_TABLE[#Headers])),INDEX(Staff_Costs[#All],MATCH(F78,Staff_Costs[[#All],[Role]],0),MATCH("Per-minute cost",Staff_Costs[#Headers],0))*D78)</f>
        <v>#N/A</v>
      </c>
      <c r="M78" s="476" t="e">
        <f t="shared" si="8"/>
        <v>#N/A</v>
      </c>
      <c r="N78" s="476" t="e">
        <f>IF(INDEX(TARIFF_TABLE[#All], MATCH($B78,TARIFF_TABLE[[#All],[Activity]],0),MATCH("ActivityType",TARIFF_TABLE[#Headers]))="Investigation",INDEX(TARIFF_TABLE[#All], MATCH($B78,TARIFF_TABLE[[#All],[Activity]],0),MATCH("Cost",TARIFF_TABLE[#Headers])),INDEX(Staff_Costs[#All],MATCH(G78,Staff_Costs[[#All],[Role]],0),MATCH("Per-minute cost",Staff_Costs[#Headers],0))*F78)</f>
        <v>#N/A</v>
      </c>
      <c r="O78" s="476" t="e">
        <f>IF(INDEX(TARIFF_TABLE[#All], MATCH($B78,TARIFF_TABLE[[#All],[Activity]],0),MATCH("ActivityType",TARIFF_TABLE[#Headers]))="Investigation",INDEX(TARIFF_TABLE[#All], MATCH($B78,TARIFF_TABLE[[#All],[Activity]],0),MATCH("Cost",TARIFF_TABLE[#Headers])),INDEX(Staff_Costs[#All],MATCH(H78,Staff_Costs[[#All],[Role]],0),MATCH("Per-minute cost",Staff_Costs[#Headers],0))*G78)</f>
        <v>#N/A</v>
      </c>
      <c r="P78" s="476" t="e">
        <f>INDEX('Tariff (hidden)'!$B$4:$B$133,MATCH(B78,'Tariff (hidden)'!$A$4:$A$133,0))</f>
        <v>#N/A</v>
      </c>
    </row>
    <row r="79" spans="1:16" x14ac:dyDescent="0.25">
      <c r="A79" s="147"/>
      <c r="B79" s="147"/>
      <c r="C79" s="148"/>
      <c r="D79" s="540"/>
      <c r="E79" s="538"/>
      <c r="F79" s="474"/>
      <c r="G79" s="474"/>
      <c r="H79" s="474"/>
      <c r="I79" s="474"/>
      <c r="J79" s="475" t="e">
        <f>IF(INDEX(TARIFF_TABLE[#All], MATCH($B79,TARIFF_TABLE[[#All],[Activity]],0),MATCH("ActivityType",TARIFF_TABLE[#Headers]))="Investigation",INDEX(TARIFF_TABLE[#All], MATCH($B79,TARIFF_TABLE[[#All],[Activity]],0),MATCH("Cost",TARIFF_TABLE[#Headers])),INDEX(Staff_Costs[#All],MATCH(D79,Staff_Costs[[#All],[Role]],0),MATCH("Per-minute cost",Staff_Costs[#Headers],0))*C79)</f>
        <v>#N/A</v>
      </c>
      <c r="K79" s="476" t="e">
        <f t="shared" si="7"/>
        <v>#N/A</v>
      </c>
      <c r="L79" s="476" t="e">
        <f>IF(INDEX(TARIFF_TABLE[#All], MATCH($B79,TARIFF_TABLE[[#All],[Activity]],0),MATCH("ActivityType",TARIFF_TABLE[#Headers]))="Investigation",INDEX(TARIFF_TABLE[#All], MATCH($B79,TARIFF_TABLE[[#All],[Activity]],0),MATCH("Cost",TARIFF_TABLE[#Headers])),INDEX(Staff_Costs[#All],MATCH(F79,Staff_Costs[[#All],[Role]],0),MATCH("Per-minute cost",Staff_Costs[#Headers],0))*D79)</f>
        <v>#N/A</v>
      </c>
      <c r="M79" s="476" t="e">
        <f t="shared" si="8"/>
        <v>#N/A</v>
      </c>
      <c r="N79" s="476" t="e">
        <f>IF(INDEX(TARIFF_TABLE[#All], MATCH($B79,TARIFF_TABLE[[#All],[Activity]],0),MATCH("ActivityType",TARIFF_TABLE[#Headers]))="Investigation",INDEX(TARIFF_TABLE[#All], MATCH($B79,TARIFF_TABLE[[#All],[Activity]],0),MATCH("Cost",TARIFF_TABLE[#Headers])),INDEX(Staff_Costs[#All],MATCH(G79,Staff_Costs[[#All],[Role]],0),MATCH("Per-minute cost",Staff_Costs[#Headers],0))*F79)</f>
        <v>#N/A</v>
      </c>
      <c r="O79" s="476" t="e">
        <f>IF(INDEX(TARIFF_TABLE[#All], MATCH($B79,TARIFF_TABLE[[#All],[Activity]],0),MATCH("ActivityType",TARIFF_TABLE[#Headers]))="Investigation",INDEX(TARIFF_TABLE[#All], MATCH($B79,TARIFF_TABLE[[#All],[Activity]],0),MATCH("Cost",TARIFF_TABLE[#Headers])),INDEX(Staff_Costs[#All],MATCH(H79,Staff_Costs[[#All],[Role]],0),MATCH("Per-minute cost",Staff_Costs[#Headers],0))*G79)</f>
        <v>#N/A</v>
      </c>
      <c r="P79" s="476" t="e">
        <f>INDEX('Tariff (hidden)'!$B$4:$B$133,MATCH(B79,'Tariff (hidden)'!$A$4:$A$133,0))</f>
        <v>#N/A</v>
      </c>
    </row>
    <row r="80" spans="1:16" x14ac:dyDescent="0.25">
      <c r="A80" s="147"/>
      <c r="B80" s="147"/>
      <c r="C80" s="148"/>
      <c r="D80" s="540"/>
      <c r="E80" s="538"/>
      <c r="F80" s="474"/>
      <c r="G80" s="474"/>
      <c r="H80" s="474"/>
      <c r="I80" s="474"/>
      <c r="J80" s="475" t="e">
        <f>IF(INDEX(TARIFF_TABLE[#All], MATCH($B80,TARIFF_TABLE[[#All],[Activity]],0),MATCH("ActivityType",TARIFF_TABLE[#Headers]))="Investigation",INDEX(TARIFF_TABLE[#All], MATCH($B80,TARIFF_TABLE[[#All],[Activity]],0),MATCH("Cost",TARIFF_TABLE[#Headers])),INDEX(Staff_Costs[#All],MATCH(D80,Staff_Costs[[#All],[Role]],0),MATCH("Per-minute cost",Staff_Costs[#Headers],0))*C80)</f>
        <v>#N/A</v>
      </c>
      <c r="K80" s="476" t="e">
        <f t="shared" si="7"/>
        <v>#N/A</v>
      </c>
      <c r="L80" s="476" t="e">
        <f>IF(INDEX(TARIFF_TABLE[#All], MATCH($B80,TARIFF_TABLE[[#All],[Activity]],0),MATCH("ActivityType",TARIFF_TABLE[#Headers]))="Investigation",INDEX(TARIFF_TABLE[#All], MATCH($B80,TARIFF_TABLE[[#All],[Activity]],0),MATCH("Cost",TARIFF_TABLE[#Headers])),INDEX(Staff_Costs[#All],MATCH(F80,Staff_Costs[[#All],[Role]],0),MATCH("Per-minute cost",Staff_Costs[#Headers],0))*D80)</f>
        <v>#N/A</v>
      </c>
      <c r="M80" s="476" t="e">
        <f t="shared" si="8"/>
        <v>#N/A</v>
      </c>
      <c r="N80" s="476" t="e">
        <f>IF(INDEX(TARIFF_TABLE[#All], MATCH($B80,TARIFF_TABLE[[#All],[Activity]],0),MATCH("ActivityType",TARIFF_TABLE[#Headers]))="Investigation",INDEX(TARIFF_TABLE[#All], MATCH($B80,TARIFF_TABLE[[#All],[Activity]],0),MATCH("Cost",TARIFF_TABLE[#Headers])),INDEX(Staff_Costs[#All],MATCH(G80,Staff_Costs[[#All],[Role]],0),MATCH("Per-minute cost",Staff_Costs[#Headers],0))*F80)</f>
        <v>#N/A</v>
      </c>
      <c r="O80" s="476" t="e">
        <f>IF(INDEX(TARIFF_TABLE[#All], MATCH($B80,TARIFF_TABLE[[#All],[Activity]],0),MATCH("ActivityType",TARIFF_TABLE[#Headers]))="Investigation",INDEX(TARIFF_TABLE[#All], MATCH($B80,TARIFF_TABLE[[#All],[Activity]],0),MATCH("Cost",TARIFF_TABLE[#Headers])),INDEX(Staff_Costs[#All],MATCH(H80,Staff_Costs[[#All],[Role]],0),MATCH("Per-minute cost",Staff_Costs[#Headers],0))*G80)</f>
        <v>#N/A</v>
      </c>
      <c r="P80" s="476" t="e">
        <f>INDEX('Tariff (hidden)'!$B$4:$B$133,MATCH(B80,'Tariff (hidden)'!$A$4:$A$133,0))</f>
        <v>#N/A</v>
      </c>
    </row>
    <row r="81" spans="1:16" x14ac:dyDescent="0.25">
      <c r="A81" s="147"/>
      <c r="B81" s="147"/>
      <c r="C81" s="148"/>
      <c r="D81" s="540"/>
      <c r="E81" s="538"/>
      <c r="F81" s="474"/>
      <c r="G81" s="474"/>
      <c r="H81" s="474"/>
      <c r="I81" s="474"/>
      <c r="J81" s="475" t="e">
        <f>IF(INDEX(TARIFF_TABLE[#All], MATCH($B81,TARIFF_TABLE[[#All],[Activity]],0),MATCH("ActivityType",TARIFF_TABLE[#Headers]))="Investigation",INDEX(TARIFF_TABLE[#All], MATCH($B81,TARIFF_TABLE[[#All],[Activity]],0),MATCH("Cost",TARIFF_TABLE[#Headers])),INDEX(Staff_Costs[#All],MATCH(D81,Staff_Costs[[#All],[Role]],0),MATCH("Per-minute cost",Staff_Costs[#Headers],0))*C81)</f>
        <v>#N/A</v>
      </c>
      <c r="K81" s="476" t="e">
        <f t="shared" si="7"/>
        <v>#N/A</v>
      </c>
      <c r="L81" s="476" t="e">
        <f>IF(INDEX(TARIFF_TABLE[#All], MATCH($B81,TARIFF_TABLE[[#All],[Activity]],0),MATCH("ActivityType",TARIFF_TABLE[#Headers]))="Investigation",INDEX(TARIFF_TABLE[#All], MATCH($B81,TARIFF_TABLE[[#All],[Activity]],0),MATCH("Cost",TARIFF_TABLE[#Headers])),INDEX(Staff_Costs[#All],MATCH(F81,Staff_Costs[[#All],[Role]],0),MATCH("Per-minute cost",Staff_Costs[#Headers],0))*D81)</f>
        <v>#N/A</v>
      </c>
      <c r="M81" s="476" t="e">
        <f t="shared" si="8"/>
        <v>#N/A</v>
      </c>
      <c r="N81" s="476" t="e">
        <f>IF(INDEX(TARIFF_TABLE[#All], MATCH($B81,TARIFF_TABLE[[#All],[Activity]],0),MATCH("ActivityType",TARIFF_TABLE[#Headers]))="Investigation",INDEX(TARIFF_TABLE[#All], MATCH($B81,TARIFF_TABLE[[#All],[Activity]],0),MATCH("Cost",TARIFF_TABLE[#Headers])),INDEX(Staff_Costs[#All],MATCH(G81,Staff_Costs[[#All],[Role]],0),MATCH("Per-minute cost",Staff_Costs[#Headers],0))*F81)</f>
        <v>#N/A</v>
      </c>
      <c r="O81" s="476" t="e">
        <f>IF(INDEX(TARIFF_TABLE[#All], MATCH($B81,TARIFF_TABLE[[#All],[Activity]],0),MATCH("ActivityType",TARIFF_TABLE[#Headers]))="Investigation",INDEX(TARIFF_TABLE[#All], MATCH($B81,TARIFF_TABLE[[#All],[Activity]],0),MATCH("Cost",TARIFF_TABLE[#Headers])),INDEX(Staff_Costs[#All],MATCH(H81,Staff_Costs[[#All],[Role]],0),MATCH("Per-minute cost",Staff_Costs[#Headers],0))*G81)</f>
        <v>#N/A</v>
      </c>
      <c r="P81" s="476" t="e">
        <f>INDEX('Tariff (hidden)'!$B$4:$B$133,MATCH(B81,'Tariff (hidden)'!$A$4:$A$133,0))</f>
        <v>#N/A</v>
      </c>
    </row>
    <row r="82" spans="1:16" x14ac:dyDescent="0.25">
      <c r="A82" s="147"/>
      <c r="B82" s="147"/>
      <c r="C82" s="148"/>
      <c r="D82" s="540"/>
      <c r="E82" s="538"/>
      <c r="F82" s="474"/>
      <c r="G82" s="474"/>
      <c r="H82" s="474"/>
      <c r="I82" s="474"/>
      <c r="J82" s="475" t="e">
        <f>IF(INDEX(TARIFF_TABLE[#All], MATCH($B82,TARIFF_TABLE[[#All],[Activity]],0),MATCH("ActivityType",TARIFF_TABLE[#Headers]))="Investigation",INDEX(TARIFF_TABLE[#All], MATCH($B82,TARIFF_TABLE[[#All],[Activity]],0),MATCH("Cost",TARIFF_TABLE[#Headers])),INDEX(Staff_Costs[#All],MATCH(D82,Staff_Costs[[#All],[Role]],0),MATCH("Per-minute cost",Staff_Costs[#Headers],0))*C82)</f>
        <v>#N/A</v>
      </c>
      <c r="K82" s="476" t="e">
        <f t="shared" si="7"/>
        <v>#N/A</v>
      </c>
      <c r="L82" s="476" t="e">
        <f>IF(INDEX(TARIFF_TABLE[#All], MATCH($B82,TARIFF_TABLE[[#All],[Activity]],0),MATCH("ActivityType",TARIFF_TABLE[#Headers]))="Investigation",INDEX(TARIFF_TABLE[#All], MATCH($B82,TARIFF_TABLE[[#All],[Activity]],0),MATCH("Cost",TARIFF_TABLE[#Headers])),INDEX(Staff_Costs[#All],MATCH(F82,Staff_Costs[[#All],[Role]],0),MATCH("Per-minute cost",Staff_Costs[#Headers],0))*D82)</f>
        <v>#N/A</v>
      </c>
      <c r="M82" s="476" t="e">
        <f t="shared" si="8"/>
        <v>#N/A</v>
      </c>
      <c r="N82" s="476" t="e">
        <f>IF(INDEX(TARIFF_TABLE[#All], MATCH($B82,TARIFF_TABLE[[#All],[Activity]],0),MATCH("ActivityType",TARIFF_TABLE[#Headers]))="Investigation",INDEX(TARIFF_TABLE[#All], MATCH($B82,TARIFF_TABLE[[#All],[Activity]],0),MATCH("Cost",TARIFF_TABLE[#Headers])),INDEX(Staff_Costs[#All],MATCH(G82,Staff_Costs[[#All],[Role]],0),MATCH("Per-minute cost",Staff_Costs[#Headers],0))*F82)</f>
        <v>#N/A</v>
      </c>
      <c r="O82" s="476" t="e">
        <f>IF(INDEX(TARIFF_TABLE[#All], MATCH($B82,TARIFF_TABLE[[#All],[Activity]],0),MATCH("ActivityType",TARIFF_TABLE[#Headers]))="Investigation",INDEX(TARIFF_TABLE[#All], MATCH($B82,TARIFF_TABLE[[#All],[Activity]],0),MATCH("Cost",TARIFF_TABLE[#Headers])),INDEX(Staff_Costs[#All],MATCH(H82,Staff_Costs[[#All],[Role]],0),MATCH("Per-minute cost",Staff_Costs[#Headers],0))*G82)</f>
        <v>#N/A</v>
      </c>
      <c r="P82" s="476" t="e">
        <f>INDEX('Tariff (hidden)'!$B$4:$B$133,MATCH(B82,'Tariff (hidden)'!$A$4:$A$133,0))</f>
        <v>#N/A</v>
      </c>
    </row>
    <row r="83" spans="1:16" x14ac:dyDescent="0.25">
      <c r="A83" s="147"/>
      <c r="B83" s="147"/>
      <c r="C83" s="148"/>
      <c r="D83" s="540"/>
      <c r="E83" s="538"/>
      <c r="F83" s="474"/>
      <c r="G83" s="474"/>
      <c r="H83" s="474"/>
      <c r="I83" s="474"/>
      <c r="J83" s="475" t="e">
        <f>IF(INDEX(TARIFF_TABLE[#All], MATCH($B83,TARIFF_TABLE[[#All],[Activity]],0),MATCH("ActivityType",TARIFF_TABLE[#Headers]))="Investigation",INDEX(TARIFF_TABLE[#All], MATCH($B83,TARIFF_TABLE[[#All],[Activity]],0),MATCH("Cost",TARIFF_TABLE[#Headers])),INDEX(Staff_Costs[#All],MATCH(D83,Staff_Costs[[#All],[Role]],0),MATCH("Per-minute cost",Staff_Costs[#Headers],0))*C83)</f>
        <v>#N/A</v>
      </c>
      <c r="K83" s="476" t="e">
        <f t="shared" si="7"/>
        <v>#N/A</v>
      </c>
      <c r="L83" s="476" t="e">
        <f>IF(INDEX(TARIFF_TABLE[#All], MATCH($B83,TARIFF_TABLE[[#All],[Activity]],0),MATCH("ActivityType",TARIFF_TABLE[#Headers]))="Investigation",INDEX(TARIFF_TABLE[#All], MATCH($B83,TARIFF_TABLE[[#All],[Activity]],0),MATCH("Cost",TARIFF_TABLE[#Headers])),INDEX(Staff_Costs[#All],MATCH(F83,Staff_Costs[[#All],[Role]],0),MATCH("Per-minute cost",Staff_Costs[#Headers],0))*D83)</f>
        <v>#N/A</v>
      </c>
      <c r="M83" s="476" t="e">
        <f t="shared" si="8"/>
        <v>#N/A</v>
      </c>
      <c r="N83" s="476" t="e">
        <f>IF(INDEX(TARIFF_TABLE[#All], MATCH($B83,TARIFF_TABLE[[#All],[Activity]],0),MATCH("ActivityType",TARIFF_TABLE[#Headers]))="Investigation",INDEX(TARIFF_TABLE[#All], MATCH($B83,TARIFF_TABLE[[#All],[Activity]],0),MATCH("Cost",TARIFF_TABLE[#Headers])),INDEX(Staff_Costs[#All],MATCH(G83,Staff_Costs[[#All],[Role]],0),MATCH("Per-minute cost",Staff_Costs[#Headers],0))*F83)</f>
        <v>#N/A</v>
      </c>
      <c r="O83" s="476" t="e">
        <f>IF(INDEX(TARIFF_TABLE[#All], MATCH($B83,TARIFF_TABLE[[#All],[Activity]],0),MATCH("ActivityType",TARIFF_TABLE[#Headers]))="Investigation",INDEX(TARIFF_TABLE[#All], MATCH($B83,TARIFF_TABLE[[#All],[Activity]],0),MATCH("Cost",TARIFF_TABLE[#Headers])),INDEX(Staff_Costs[#All],MATCH(H83,Staff_Costs[[#All],[Role]],0),MATCH("Per-minute cost",Staff_Costs[#Headers],0))*G83)</f>
        <v>#N/A</v>
      </c>
      <c r="P83" s="476" t="e">
        <f>INDEX('Tariff (hidden)'!$B$4:$B$133,MATCH(B83,'Tariff (hidden)'!$A$4:$A$133,0))</f>
        <v>#N/A</v>
      </c>
    </row>
    <row r="84" spans="1:16" x14ac:dyDescent="0.25">
      <c r="A84" s="147"/>
      <c r="B84" s="147"/>
      <c r="C84" s="148"/>
      <c r="D84" s="540"/>
      <c r="E84" s="538"/>
      <c r="F84" s="474"/>
      <c r="G84" s="474"/>
      <c r="H84" s="474"/>
      <c r="I84" s="474"/>
      <c r="J84" s="475" t="e">
        <f>IF(INDEX(TARIFF_TABLE[#All], MATCH($B84,TARIFF_TABLE[[#All],[Activity]],0),MATCH("ActivityType",TARIFF_TABLE[#Headers]))="Investigation",INDEX(TARIFF_TABLE[#All], MATCH($B84,TARIFF_TABLE[[#All],[Activity]],0),MATCH("Cost",TARIFF_TABLE[#Headers])),INDEX(Staff_Costs[#All],MATCH(D84,Staff_Costs[[#All],[Role]],0),MATCH("Per-minute cost",Staff_Costs[#Headers],0))*C84)</f>
        <v>#N/A</v>
      </c>
      <c r="K84" s="476" t="e">
        <f t="shared" si="7"/>
        <v>#N/A</v>
      </c>
      <c r="L84" s="476" t="e">
        <f>IF(INDEX(TARIFF_TABLE[#All], MATCH($B84,TARIFF_TABLE[[#All],[Activity]],0),MATCH("ActivityType",TARIFF_TABLE[#Headers]))="Investigation",INDEX(TARIFF_TABLE[#All], MATCH($B84,TARIFF_TABLE[[#All],[Activity]],0),MATCH("Cost",TARIFF_TABLE[#Headers])),INDEX(Staff_Costs[#All],MATCH(F84,Staff_Costs[[#All],[Role]],0),MATCH("Per-minute cost",Staff_Costs[#Headers],0))*D84)</f>
        <v>#N/A</v>
      </c>
      <c r="M84" s="476" t="e">
        <f t="shared" si="8"/>
        <v>#N/A</v>
      </c>
      <c r="N84" s="476" t="e">
        <f>IF(INDEX(TARIFF_TABLE[#All], MATCH($B84,TARIFF_TABLE[[#All],[Activity]],0),MATCH("ActivityType",TARIFF_TABLE[#Headers]))="Investigation",INDEX(TARIFF_TABLE[#All], MATCH($B84,TARIFF_TABLE[[#All],[Activity]],0),MATCH("Cost",TARIFF_TABLE[#Headers])),INDEX(Staff_Costs[#All],MATCH(G84,Staff_Costs[[#All],[Role]],0),MATCH("Per-minute cost",Staff_Costs[#Headers],0))*F84)</f>
        <v>#N/A</v>
      </c>
      <c r="O84" s="476" t="e">
        <f>IF(INDEX(TARIFF_TABLE[#All], MATCH($B84,TARIFF_TABLE[[#All],[Activity]],0),MATCH("ActivityType",TARIFF_TABLE[#Headers]))="Investigation",INDEX(TARIFF_TABLE[#All], MATCH($B84,TARIFF_TABLE[[#All],[Activity]],0),MATCH("Cost",TARIFF_TABLE[#Headers])),INDEX(Staff_Costs[#All],MATCH(H84,Staff_Costs[[#All],[Role]],0),MATCH("Per-minute cost",Staff_Costs[#Headers],0))*G84)</f>
        <v>#N/A</v>
      </c>
      <c r="P84" s="476" t="e">
        <f>INDEX('Tariff (hidden)'!$B$4:$B$133,MATCH(B84,'Tariff (hidden)'!$A$4:$A$133,0))</f>
        <v>#N/A</v>
      </c>
    </row>
    <row r="85" spans="1:16" x14ac:dyDescent="0.25">
      <c r="A85" s="147"/>
      <c r="B85" s="147"/>
      <c r="C85" s="148"/>
      <c r="D85" s="540"/>
      <c r="E85" s="538"/>
      <c r="F85" s="474"/>
      <c r="G85" s="474"/>
      <c r="H85" s="474"/>
      <c r="I85" s="474"/>
      <c r="J85" s="475" t="e">
        <f>IF(INDEX(TARIFF_TABLE[#All], MATCH($B85,TARIFF_TABLE[[#All],[Activity]],0),MATCH("ActivityType",TARIFF_TABLE[#Headers]))="Investigation",INDEX(TARIFF_TABLE[#All], MATCH($B85,TARIFF_TABLE[[#All],[Activity]],0),MATCH("Cost",TARIFF_TABLE[#Headers])),INDEX(Staff_Costs[#All],MATCH(D85,Staff_Costs[[#All],[Role]],0),MATCH("Per-minute cost",Staff_Costs[#Headers],0))*C85)</f>
        <v>#N/A</v>
      </c>
      <c r="K85" s="476" t="e">
        <f t="shared" si="7"/>
        <v>#N/A</v>
      </c>
      <c r="L85" s="476" t="e">
        <f>IF(INDEX(TARIFF_TABLE[#All], MATCH($B85,TARIFF_TABLE[[#All],[Activity]],0),MATCH("ActivityType",TARIFF_TABLE[#Headers]))="Investigation",INDEX(TARIFF_TABLE[#All], MATCH($B85,TARIFF_TABLE[[#All],[Activity]],0),MATCH("Cost",TARIFF_TABLE[#Headers])),INDEX(Staff_Costs[#All],MATCH(F85,Staff_Costs[[#All],[Role]],0),MATCH("Per-minute cost",Staff_Costs[#Headers],0))*D85)</f>
        <v>#N/A</v>
      </c>
      <c r="M85" s="476" t="e">
        <f t="shared" si="8"/>
        <v>#N/A</v>
      </c>
      <c r="N85" s="476" t="e">
        <f>IF(INDEX(TARIFF_TABLE[#All], MATCH($B85,TARIFF_TABLE[[#All],[Activity]],0),MATCH("ActivityType",TARIFF_TABLE[#Headers]))="Investigation",INDEX(TARIFF_TABLE[#All], MATCH($B85,TARIFF_TABLE[[#All],[Activity]],0),MATCH("Cost",TARIFF_TABLE[#Headers])),INDEX(Staff_Costs[#All],MATCH(G85,Staff_Costs[[#All],[Role]],0),MATCH("Per-minute cost",Staff_Costs[#Headers],0))*F85)</f>
        <v>#N/A</v>
      </c>
      <c r="O85" s="476" t="e">
        <f>IF(INDEX(TARIFF_TABLE[#All], MATCH($B85,TARIFF_TABLE[[#All],[Activity]],0),MATCH("ActivityType",TARIFF_TABLE[#Headers]))="Investigation",INDEX(TARIFF_TABLE[#All], MATCH($B85,TARIFF_TABLE[[#All],[Activity]],0),MATCH("Cost",TARIFF_TABLE[#Headers])),INDEX(Staff_Costs[#All],MATCH(H85,Staff_Costs[[#All],[Role]],0),MATCH("Per-minute cost",Staff_Costs[#Headers],0))*G85)</f>
        <v>#N/A</v>
      </c>
      <c r="P85" s="476" t="e">
        <f>INDEX('Tariff (hidden)'!$B$4:$B$133,MATCH(B85,'Tariff (hidden)'!$A$4:$A$133,0))</f>
        <v>#N/A</v>
      </c>
    </row>
    <row r="86" spans="1:16" x14ac:dyDescent="0.25">
      <c r="A86" s="147"/>
      <c r="B86" s="147"/>
      <c r="C86" s="148"/>
      <c r="D86" s="540"/>
      <c r="E86" s="538"/>
      <c r="F86" s="474"/>
      <c r="G86" s="474"/>
      <c r="H86" s="474"/>
      <c r="I86" s="474"/>
      <c r="J86" s="475" t="e">
        <f>IF(INDEX(TARIFF_TABLE[#All], MATCH($B86,TARIFF_TABLE[[#All],[Activity]],0),MATCH("ActivityType",TARIFF_TABLE[#Headers]))="Investigation",INDEX(TARIFF_TABLE[#All], MATCH($B86,TARIFF_TABLE[[#All],[Activity]],0),MATCH("Cost",TARIFF_TABLE[#Headers])),INDEX(Staff_Costs[#All],MATCH(D86,Staff_Costs[[#All],[Role]],0),MATCH("Per-minute cost",Staff_Costs[#Headers],0))*C86)</f>
        <v>#N/A</v>
      </c>
      <c r="K86" s="476" t="e">
        <f t="shared" si="7"/>
        <v>#N/A</v>
      </c>
      <c r="L86" s="476" t="e">
        <f>IF(INDEX(TARIFF_TABLE[#All], MATCH($B86,TARIFF_TABLE[[#All],[Activity]],0),MATCH("ActivityType",TARIFF_TABLE[#Headers]))="Investigation",INDEX(TARIFF_TABLE[#All], MATCH($B86,TARIFF_TABLE[[#All],[Activity]],0),MATCH("Cost",TARIFF_TABLE[#Headers])),INDEX(Staff_Costs[#All],MATCH(F86,Staff_Costs[[#All],[Role]],0),MATCH("Per-minute cost",Staff_Costs[#Headers],0))*D86)</f>
        <v>#N/A</v>
      </c>
      <c r="M86" s="476" t="e">
        <f t="shared" si="8"/>
        <v>#N/A</v>
      </c>
      <c r="N86" s="476" t="e">
        <f>IF(INDEX(TARIFF_TABLE[#All], MATCH($B86,TARIFF_TABLE[[#All],[Activity]],0),MATCH("ActivityType",TARIFF_TABLE[#Headers]))="Investigation",INDEX(TARIFF_TABLE[#All], MATCH($B86,TARIFF_TABLE[[#All],[Activity]],0),MATCH("Cost",TARIFF_TABLE[#Headers])),INDEX(Staff_Costs[#All],MATCH(G86,Staff_Costs[[#All],[Role]],0),MATCH("Per-minute cost",Staff_Costs[#Headers],0))*F86)</f>
        <v>#N/A</v>
      </c>
      <c r="O86" s="476" t="e">
        <f>IF(INDEX(TARIFF_TABLE[#All], MATCH($B86,TARIFF_TABLE[[#All],[Activity]],0),MATCH("ActivityType",TARIFF_TABLE[#Headers]))="Investigation",INDEX(TARIFF_TABLE[#All], MATCH($B86,TARIFF_TABLE[[#All],[Activity]],0),MATCH("Cost",TARIFF_TABLE[#Headers])),INDEX(Staff_Costs[#All],MATCH(H86,Staff_Costs[[#All],[Role]],0),MATCH("Per-minute cost",Staff_Costs[#Headers],0))*G86)</f>
        <v>#N/A</v>
      </c>
      <c r="P86" s="476" t="e">
        <f>INDEX('Tariff (hidden)'!$B$4:$B$133,MATCH(B86,'Tariff (hidden)'!$A$4:$A$133,0))</f>
        <v>#N/A</v>
      </c>
    </row>
    <row r="87" spans="1:16" x14ac:dyDescent="0.25">
      <c r="A87" s="147"/>
      <c r="B87" s="147"/>
      <c r="C87" s="148"/>
      <c r="D87" s="540"/>
      <c r="E87" s="538"/>
      <c r="F87" s="474"/>
      <c r="G87" s="474"/>
      <c r="H87" s="474"/>
      <c r="I87" s="474"/>
      <c r="J87" s="475" t="e">
        <f>IF(INDEX(TARIFF_TABLE[#All], MATCH($B87,TARIFF_TABLE[[#All],[Activity]],0),MATCH("ActivityType",TARIFF_TABLE[#Headers]))="Investigation",INDEX(TARIFF_TABLE[#All], MATCH($B87,TARIFF_TABLE[[#All],[Activity]],0),MATCH("Cost",TARIFF_TABLE[#Headers])),INDEX(Staff_Costs[#All],MATCH(D87,Staff_Costs[[#All],[Role]],0),MATCH("Per-minute cost",Staff_Costs[#Headers],0))*C87)</f>
        <v>#N/A</v>
      </c>
      <c r="K87" s="476" t="e">
        <f t="shared" si="7"/>
        <v>#N/A</v>
      </c>
      <c r="L87" s="476" t="e">
        <f>IF(INDEX(TARIFF_TABLE[#All], MATCH($B87,TARIFF_TABLE[[#All],[Activity]],0),MATCH("ActivityType",TARIFF_TABLE[#Headers]))="Investigation",INDEX(TARIFF_TABLE[#All], MATCH($B87,TARIFF_TABLE[[#All],[Activity]],0),MATCH("Cost",TARIFF_TABLE[#Headers])),INDEX(Staff_Costs[#All],MATCH(F87,Staff_Costs[[#All],[Role]],0),MATCH("Per-minute cost",Staff_Costs[#Headers],0))*D87)</f>
        <v>#N/A</v>
      </c>
      <c r="M87" s="476" t="e">
        <f t="shared" si="8"/>
        <v>#N/A</v>
      </c>
      <c r="N87" s="476" t="e">
        <f>IF(INDEX(TARIFF_TABLE[#All], MATCH($B87,TARIFF_TABLE[[#All],[Activity]],0),MATCH("ActivityType",TARIFF_TABLE[#Headers]))="Investigation",INDEX(TARIFF_TABLE[#All], MATCH($B87,TARIFF_TABLE[[#All],[Activity]],0),MATCH("Cost",TARIFF_TABLE[#Headers])),INDEX(Staff_Costs[#All],MATCH(G87,Staff_Costs[[#All],[Role]],0),MATCH("Per-minute cost",Staff_Costs[#Headers],0))*F87)</f>
        <v>#N/A</v>
      </c>
      <c r="O87" s="476" t="e">
        <f>IF(INDEX(TARIFF_TABLE[#All], MATCH($B87,TARIFF_TABLE[[#All],[Activity]],0),MATCH("ActivityType",TARIFF_TABLE[#Headers]))="Investigation",INDEX(TARIFF_TABLE[#All], MATCH($B87,TARIFF_TABLE[[#All],[Activity]],0),MATCH("Cost",TARIFF_TABLE[#Headers])),INDEX(Staff_Costs[#All],MATCH(H87,Staff_Costs[[#All],[Role]],0),MATCH("Per-minute cost",Staff_Costs[#Headers],0))*G87)</f>
        <v>#N/A</v>
      </c>
      <c r="P87" s="476" t="e">
        <f>INDEX('Tariff (hidden)'!$B$4:$B$133,MATCH(B87,'Tariff (hidden)'!$A$4:$A$133,0))</f>
        <v>#N/A</v>
      </c>
    </row>
    <row r="88" spans="1:16" x14ac:dyDescent="0.25">
      <c r="A88" s="147"/>
      <c r="B88" s="147"/>
      <c r="C88" s="148"/>
      <c r="D88" s="540"/>
      <c r="E88" s="538"/>
      <c r="F88" s="474"/>
      <c r="G88" s="474"/>
      <c r="H88" s="474"/>
      <c r="I88" s="474"/>
      <c r="J88" s="475" t="e">
        <f>IF(INDEX(TARIFF_TABLE[#All], MATCH($B88,TARIFF_TABLE[[#All],[Activity]],0),MATCH("ActivityType",TARIFF_TABLE[#Headers]))="Investigation",INDEX(TARIFF_TABLE[#All], MATCH($B88,TARIFF_TABLE[[#All],[Activity]],0),MATCH("Cost",TARIFF_TABLE[#Headers])),INDEX(Staff_Costs[#All],MATCH(D88,Staff_Costs[[#All],[Role]],0),MATCH("Per-minute cost",Staff_Costs[#Headers],0))*C88)</f>
        <v>#N/A</v>
      </c>
      <c r="K88" s="476" t="e">
        <f t="shared" si="7"/>
        <v>#N/A</v>
      </c>
      <c r="L88" s="476" t="e">
        <f>IF(INDEX(TARIFF_TABLE[#All], MATCH($B88,TARIFF_TABLE[[#All],[Activity]],0),MATCH("ActivityType",TARIFF_TABLE[#Headers]))="Investigation",INDEX(TARIFF_TABLE[#All], MATCH($B88,TARIFF_TABLE[[#All],[Activity]],0),MATCH("Cost",TARIFF_TABLE[#Headers])),INDEX(Staff_Costs[#All],MATCH(F88,Staff_Costs[[#All],[Role]],0),MATCH("Per-minute cost",Staff_Costs[#Headers],0))*D88)</f>
        <v>#N/A</v>
      </c>
      <c r="M88" s="476" t="e">
        <f t="shared" si="8"/>
        <v>#N/A</v>
      </c>
      <c r="N88" s="476" t="e">
        <f>IF(INDEX(TARIFF_TABLE[#All], MATCH($B88,TARIFF_TABLE[[#All],[Activity]],0),MATCH("ActivityType",TARIFF_TABLE[#Headers]))="Investigation",INDEX(TARIFF_TABLE[#All], MATCH($B88,TARIFF_TABLE[[#All],[Activity]],0),MATCH("Cost",TARIFF_TABLE[#Headers])),INDEX(Staff_Costs[#All],MATCH(G88,Staff_Costs[[#All],[Role]],0),MATCH("Per-minute cost",Staff_Costs[#Headers],0))*F88)</f>
        <v>#N/A</v>
      </c>
      <c r="O88" s="476" t="e">
        <f>IF(INDEX(TARIFF_TABLE[#All], MATCH($B88,TARIFF_TABLE[[#All],[Activity]],0),MATCH("ActivityType",TARIFF_TABLE[#Headers]))="Investigation",INDEX(TARIFF_TABLE[#All], MATCH($B88,TARIFF_TABLE[[#All],[Activity]],0),MATCH("Cost",TARIFF_TABLE[#Headers])),INDEX(Staff_Costs[#All],MATCH(H88,Staff_Costs[[#All],[Role]],0),MATCH("Per-minute cost",Staff_Costs[#Headers],0))*G88)</f>
        <v>#N/A</v>
      </c>
      <c r="P88" s="476" t="e">
        <f>INDEX('Tariff (hidden)'!$B$4:$B$133,MATCH(B88,'Tariff (hidden)'!$A$4:$A$133,0))</f>
        <v>#N/A</v>
      </c>
    </row>
    <row r="89" spans="1:16" x14ac:dyDescent="0.25">
      <c r="A89" s="147"/>
      <c r="B89" s="147"/>
      <c r="C89" s="148"/>
      <c r="D89" s="540"/>
      <c r="E89" s="538"/>
      <c r="F89" s="474"/>
      <c r="G89" s="474"/>
      <c r="H89" s="474"/>
      <c r="I89" s="474"/>
      <c r="J89" s="475" t="e">
        <f>IF(INDEX(TARIFF_TABLE[#All], MATCH($B89,TARIFF_TABLE[[#All],[Activity]],0),MATCH("ActivityType",TARIFF_TABLE[#Headers]))="Investigation",INDEX(TARIFF_TABLE[#All], MATCH($B89,TARIFF_TABLE[[#All],[Activity]],0),MATCH("Cost",TARIFF_TABLE[#Headers])),INDEX(Staff_Costs[#All],MATCH(D89,Staff_Costs[[#All],[Role]],0),MATCH("Per-minute cost",Staff_Costs[#Headers],0))*C89)</f>
        <v>#N/A</v>
      </c>
      <c r="K89" s="476" t="e">
        <f t="shared" si="7"/>
        <v>#N/A</v>
      </c>
      <c r="L89" s="476" t="e">
        <f>IF(INDEX(TARIFF_TABLE[#All], MATCH($B89,TARIFF_TABLE[[#All],[Activity]],0),MATCH("ActivityType",TARIFF_TABLE[#Headers]))="Investigation",INDEX(TARIFF_TABLE[#All], MATCH($B89,TARIFF_TABLE[[#All],[Activity]],0),MATCH("Cost",TARIFF_TABLE[#Headers])),INDEX(Staff_Costs[#All],MATCH(F89,Staff_Costs[[#All],[Role]],0),MATCH("Per-minute cost",Staff_Costs[#Headers],0))*D89)</f>
        <v>#N/A</v>
      </c>
      <c r="M89" s="476" t="e">
        <f t="shared" si="8"/>
        <v>#N/A</v>
      </c>
      <c r="N89" s="476" t="e">
        <f>IF(INDEX(TARIFF_TABLE[#All], MATCH($B89,TARIFF_TABLE[[#All],[Activity]],0),MATCH("ActivityType",TARIFF_TABLE[#Headers]))="Investigation",INDEX(TARIFF_TABLE[#All], MATCH($B89,TARIFF_TABLE[[#All],[Activity]],0),MATCH("Cost",TARIFF_TABLE[#Headers])),INDEX(Staff_Costs[#All],MATCH(G89,Staff_Costs[[#All],[Role]],0),MATCH("Per-minute cost",Staff_Costs[#Headers],0))*F89)</f>
        <v>#N/A</v>
      </c>
      <c r="O89" s="476" t="e">
        <f>IF(INDEX(TARIFF_TABLE[#All], MATCH($B89,TARIFF_TABLE[[#All],[Activity]],0),MATCH("ActivityType",TARIFF_TABLE[#Headers]))="Investigation",INDEX(TARIFF_TABLE[#All], MATCH($B89,TARIFF_TABLE[[#All],[Activity]],0),MATCH("Cost",TARIFF_TABLE[#Headers])),INDEX(Staff_Costs[#All],MATCH(H89,Staff_Costs[[#All],[Role]],0),MATCH("Per-minute cost",Staff_Costs[#Headers],0))*G89)</f>
        <v>#N/A</v>
      </c>
      <c r="P89" s="476" t="e">
        <f>INDEX('Tariff (hidden)'!$B$4:$B$133,MATCH(B89,'Tariff (hidden)'!$A$4:$A$133,0))</f>
        <v>#N/A</v>
      </c>
    </row>
    <row r="90" spans="1:16" x14ac:dyDescent="0.25">
      <c r="A90" s="147"/>
      <c r="B90" s="147"/>
      <c r="C90" s="148"/>
      <c r="D90" s="540"/>
      <c r="E90" s="538"/>
      <c r="F90" s="474"/>
      <c r="G90" s="474"/>
      <c r="H90" s="474"/>
      <c r="I90" s="474"/>
      <c r="J90" s="475" t="e">
        <f>IF(INDEX(TARIFF_TABLE[#All], MATCH($B90,TARIFF_TABLE[[#All],[Activity]],0),MATCH("ActivityType",TARIFF_TABLE[#Headers]))="Investigation",INDEX(TARIFF_TABLE[#All], MATCH($B90,TARIFF_TABLE[[#All],[Activity]],0),MATCH("Cost",TARIFF_TABLE[#Headers])),INDEX(Staff_Costs[#All],MATCH(D90,Staff_Costs[[#All],[Role]],0),MATCH("Per-minute cost",Staff_Costs[#Headers],0))*C90)</f>
        <v>#N/A</v>
      </c>
      <c r="K90" s="476" t="e">
        <f t="shared" si="7"/>
        <v>#N/A</v>
      </c>
      <c r="L90" s="476" t="e">
        <f>IF(INDEX(TARIFF_TABLE[#All], MATCH($B90,TARIFF_TABLE[[#All],[Activity]],0),MATCH("ActivityType",TARIFF_TABLE[#Headers]))="Investigation",INDEX(TARIFF_TABLE[#All], MATCH($B90,TARIFF_TABLE[[#All],[Activity]],0),MATCH("Cost",TARIFF_TABLE[#Headers])),INDEX(Staff_Costs[#All],MATCH(F90,Staff_Costs[[#All],[Role]],0),MATCH("Per-minute cost",Staff_Costs[#Headers],0))*D90)</f>
        <v>#N/A</v>
      </c>
      <c r="M90" s="476" t="e">
        <f t="shared" si="8"/>
        <v>#N/A</v>
      </c>
      <c r="N90" s="476" t="e">
        <f>IF(INDEX(TARIFF_TABLE[#All], MATCH($B90,TARIFF_TABLE[[#All],[Activity]],0),MATCH("ActivityType",TARIFF_TABLE[#Headers]))="Investigation",INDEX(TARIFF_TABLE[#All], MATCH($B90,TARIFF_TABLE[[#All],[Activity]],0),MATCH("Cost",TARIFF_TABLE[#Headers])),INDEX(Staff_Costs[#All],MATCH(G90,Staff_Costs[[#All],[Role]],0),MATCH("Per-minute cost",Staff_Costs[#Headers],0))*F90)</f>
        <v>#N/A</v>
      </c>
      <c r="O90" s="476" t="e">
        <f>IF(INDEX(TARIFF_TABLE[#All], MATCH($B90,TARIFF_TABLE[[#All],[Activity]],0),MATCH("ActivityType",TARIFF_TABLE[#Headers]))="Investigation",INDEX(TARIFF_TABLE[#All], MATCH($B90,TARIFF_TABLE[[#All],[Activity]],0),MATCH("Cost",TARIFF_TABLE[#Headers])),INDEX(Staff_Costs[#All],MATCH(H90,Staff_Costs[[#All],[Role]],0),MATCH("Per-minute cost",Staff_Costs[#Headers],0))*G90)</f>
        <v>#N/A</v>
      </c>
      <c r="P90" s="476" t="e">
        <f>INDEX('Tariff (hidden)'!$B$4:$B$133,MATCH(B90,'Tariff (hidden)'!$A$4:$A$133,0))</f>
        <v>#N/A</v>
      </c>
    </row>
    <row r="91" spans="1:16" x14ac:dyDescent="0.25">
      <c r="A91" s="147"/>
      <c r="B91" s="147"/>
      <c r="C91" s="148"/>
      <c r="D91" s="540"/>
      <c r="E91" s="538"/>
      <c r="F91" s="474"/>
      <c r="G91" s="474"/>
      <c r="H91" s="474"/>
      <c r="I91" s="474"/>
      <c r="J91" s="475" t="e">
        <f>IF(INDEX(TARIFF_TABLE[#All], MATCH($B91,TARIFF_TABLE[[#All],[Activity]],0),MATCH("ActivityType",TARIFF_TABLE[#Headers]))="Investigation",INDEX(TARIFF_TABLE[#All], MATCH($B91,TARIFF_TABLE[[#All],[Activity]],0),MATCH("Cost",TARIFF_TABLE[#Headers])),INDEX(Staff_Costs[#All],MATCH(D91,Staff_Costs[[#All],[Role]],0),MATCH("Per-minute cost",Staff_Costs[#Headers],0))*C91)</f>
        <v>#N/A</v>
      </c>
      <c r="K91" s="476" t="e">
        <f t="shared" si="7"/>
        <v>#N/A</v>
      </c>
      <c r="L91" s="476" t="e">
        <f>IF(INDEX(TARIFF_TABLE[#All], MATCH($B91,TARIFF_TABLE[[#All],[Activity]],0),MATCH("ActivityType",TARIFF_TABLE[#Headers]))="Investigation",INDEX(TARIFF_TABLE[#All], MATCH($B91,TARIFF_TABLE[[#All],[Activity]],0),MATCH("Cost",TARIFF_TABLE[#Headers])),INDEX(Staff_Costs[#All],MATCH(F91,Staff_Costs[[#All],[Role]],0),MATCH("Per-minute cost",Staff_Costs[#Headers],0))*D91)</f>
        <v>#N/A</v>
      </c>
      <c r="M91" s="476" t="e">
        <f t="shared" si="8"/>
        <v>#N/A</v>
      </c>
      <c r="N91" s="476" t="e">
        <f>IF(INDEX(TARIFF_TABLE[#All], MATCH($B91,TARIFF_TABLE[[#All],[Activity]],0),MATCH("ActivityType",TARIFF_TABLE[#Headers]))="Investigation",INDEX(TARIFF_TABLE[#All], MATCH($B91,TARIFF_TABLE[[#All],[Activity]],0),MATCH("Cost",TARIFF_TABLE[#Headers])),INDEX(Staff_Costs[#All],MATCH(G91,Staff_Costs[[#All],[Role]],0),MATCH("Per-minute cost",Staff_Costs[#Headers],0))*F91)</f>
        <v>#N/A</v>
      </c>
      <c r="O91" s="476" t="e">
        <f>IF(INDEX(TARIFF_TABLE[#All], MATCH($B91,TARIFF_TABLE[[#All],[Activity]],0),MATCH("ActivityType",TARIFF_TABLE[#Headers]))="Investigation",INDEX(TARIFF_TABLE[#All], MATCH($B91,TARIFF_TABLE[[#All],[Activity]],0),MATCH("Cost",TARIFF_TABLE[#Headers])),INDEX(Staff_Costs[#All],MATCH(H91,Staff_Costs[[#All],[Role]],0),MATCH("Per-minute cost",Staff_Costs[#Headers],0))*G91)</f>
        <v>#N/A</v>
      </c>
      <c r="P91" s="476" t="e">
        <f>INDEX('Tariff (hidden)'!$B$4:$B$133,MATCH(B91,'Tariff (hidden)'!$A$4:$A$133,0))</f>
        <v>#N/A</v>
      </c>
    </row>
    <row r="92" spans="1:16" x14ac:dyDescent="0.25">
      <c r="A92" s="147"/>
      <c r="B92" s="147"/>
      <c r="C92" s="148"/>
      <c r="D92" s="540"/>
      <c r="E92" s="538"/>
      <c r="F92" s="474"/>
      <c r="G92" s="474"/>
      <c r="H92" s="474"/>
      <c r="I92" s="474"/>
      <c r="J92" s="475" t="e">
        <f>IF(INDEX(TARIFF_TABLE[#All], MATCH($B92,TARIFF_TABLE[[#All],[Activity]],0),MATCH("ActivityType",TARIFF_TABLE[#Headers]))="Investigation",INDEX(TARIFF_TABLE[#All], MATCH($B92,TARIFF_TABLE[[#All],[Activity]],0),MATCH("Cost",TARIFF_TABLE[#Headers])),INDEX(Staff_Costs[#All],MATCH(D92,Staff_Costs[[#All],[Role]],0),MATCH("Per-minute cost",Staff_Costs[#Headers],0))*C92)</f>
        <v>#N/A</v>
      </c>
      <c r="K92" s="476" t="e">
        <f t="shared" ref="K92:K110" si="9">COUNTIF($F92:$I92, K$10)*$J92</f>
        <v>#N/A</v>
      </c>
      <c r="L92" s="476" t="e">
        <f>IF(INDEX(TARIFF_TABLE[#All], MATCH($B92,TARIFF_TABLE[[#All],[Activity]],0),MATCH("ActivityType",TARIFF_TABLE[#Headers]))="Investigation",INDEX(TARIFF_TABLE[#All], MATCH($B92,TARIFF_TABLE[[#All],[Activity]],0),MATCH("Cost",TARIFF_TABLE[#Headers])),INDEX(Staff_Costs[#All],MATCH(F92,Staff_Costs[[#All],[Role]],0),MATCH("Per-minute cost",Staff_Costs[#Headers],0))*D92)</f>
        <v>#N/A</v>
      </c>
      <c r="M92" s="476" t="e">
        <f t="shared" ref="M92:M110" si="10">COUNTIF($F92:$I92, M$10)*$J92</f>
        <v>#N/A</v>
      </c>
      <c r="N92" s="476" t="e">
        <f>IF(INDEX(TARIFF_TABLE[#All], MATCH($B92,TARIFF_TABLE[[#All],[Activity]],0),MATCH("ActivityType",TARIFF_TABLE[#Headers]))="Investigation",INDEX(TARIFF_TABLE[#All], MATCH($B92,TARIFF_TABLE[[#All],[Activity]],0),MATCH("Cost",TARIFF_TABLE[#Headers])),INDEX(Staff_Costs[#All],MATCH(G92,Staff_Costs[[#All],[Role]],0),MATCH("Per-minute cost",Staff_Costs[#Headers],0))*F92)</f>
        <v>#N/A</v>
      </c>
      <c r="O92" s="476" t="e">
        <f>IF(INDEX(TARIFF_TABLE[#All], MATCH($B92,TARIFF_TABLE[[#All],[Activity]],0),MATCH("ActivityType",TARIFF_TABLE[#Headers]))="Investigation",INDEX(TARIFF_TABLE[#All], MATCH($B92,TARIFF_TABLE[[#All],[Activity]],0),MATCH("Cost",TARIFF_TABLE[#Headers])),INDEX(Staff_Costs[#All],MATCH(H92,Staff_Costs[[#All],[Role]],0),MATCH("Per-minute cost",Staff_Costs[#Headers],0))*G92)</f>
        <v>#N/A</v>
      </c>
      <c r="P92" s="476" t="e">
        <f>INDEX('Tariff (hidden)'!$B$4:$B$133,MATCH(B92,'Tariff (hidden)'!$A$4:$A$133,0))</f>
        <v>#N/A</v>
      </c>
    </row>
    <row r="93" spans="1:16" x14ac:dyDescent="0.25">
      <c r="A93" s="147"/>
      <c r="B93" s="147"/>
      <c r="C93" s="148"/>
      <c r="D93" s="540"/>
      <c r="E93" s="538"/>
      <c r="F93" s="474"/>
      <c r="G93" s="474"/>
      <c r="H93" s="474"/>
      <c r="I93" s="474"/>
      <c r="J93" s="475" t="e">
        <f>IF(INDEX(TARIFF_TABLE[#All], MATCH($B93,TARIFF_TABLE[[#All],[Activity]],0),MATCH("ActivityType",TARIFF_TABLE[#Headers]))="Investigation",INDEX(TARIFF_TABLE[#All], MATCH($B93,TARIFF_TABLE[[#All],[Activity]],0),MATCH("Cost",TARIFF_TABLE[#Headers])),INDEX(Staff_Costs[#All],MATCH(D93,Staff_Costs[[#All],[Role]],0),MATCH("Per-minute cost",Staff_Costs[#Headers],0))*C93)</f>
        <v>#N/A</v>
      </c>
      <c r="K93" s="476" t="e">
        <f t="shared" si="9"/>
        <v>#N/A</v>
      </c>
      <c r="L93" s="476" t="e">
        <f>IF(INDEX(TARIFF_TABLE[#All], MATCH($B93,TARIFF_TABLE[[#All],[Activity]],0),MATCH("ActivityType",TARIFF_TABLE[#Headers]))="Investigation",INDEX(TARIFF_TABLE[#All], MATCH($B93,TARIFF_TABLE[[#All],[Activity]],0),MATCH("Cost",TARIFF_TABLE[#Headers])),INDEX(Staff_Costs[#All],MATCH(F93,Staff_Costs[[#All],[Role]],0),MATCH("Per-minute cost",Staff_Costs[#Headers],0))*D93)</f>
        <v>#N/A</v>
      </c>
      <c r="M93" s="476" t="e">
        <f t="shared" si="10"/>
        <v>#N/A</v>
      </c>
      <c r="N93" s="476" t="e">
        <f>IF(INDEX(TARIFF_TABLE[#All], MATCH($B93,TARIFF_TABLE[[#All],[Activity]],0),MATCH("ActivityType",TARIFF_TABLE[#Headers]))="Investigation",INDEX(TARIFF_TABLE[#All], MATCH($B93,TARIFF_TABLE[[#All],[Activity]],0),MATCH("Cost",TARIFF_TABLE[#Headers])),INDEX(Staff_Costs[#All],MATCH(G93,Staff_Costs[[#All],[Role]],0),MATCH("Per-minute cost",Staff_Costs[#Headers],0))*F93)</f>
        <v>#N/A</v>
      </c>
      <c r="O93" s="476" t="e">
        <f>IF(INDEX(TARIFF_TABLE[#All], MATCH($B93,TARIFF_TABLE[[#All],[Activity]],0),MATCH("ActivityType",TARIFF_TABLE[#Headers]))="Investigation",INDEX(TARIFF_TABLE[#All], MATCH($B93,TARIFF_TABLE[[#All],[Activity]],0),MATCH("Cost",TARIFF_TABLE[#Headers])),INDEX(Staff_Costs[#All],MATCH(H93,Staff_Costs[[#All],[Role]],0),MATCH("Per-minute cost",Staff_Costs[#Headers],0))*G93)</f>
        <v>#N/A</v>
      </c>
      <c r="P93" s="476" t="e">
        <f>INDEX('Tariff (hidden)'!$B$4:$B$133,MATCH(B93,'Tariff (hidden)'!$A$4:$A$133,0))</f>
        <v>#N/A</v>
      </c>
    </row>
    <row r="94" spans="1:16" x14ac:dyDescent="0.25">
      <c r="A94" s="147"/>
      <c r="B94" s="147"/>
      <c r="C94" s="148"/>
      <c r="D94" s="540"/>
      <c r="E94" s="538"/>
      <c r="F94" s="474"/>
      <c r="G94" s="474"/>
      <c r="H94" s="474"/>
      <c r="I94" s="474"/>
      <c r="J94" s="475" t="e">
        <f>IF(INDEX(TARIFF_TABLE[#All], MATCH($B94,TARIFF_TABLE[[#All],[Activity]],0),MATCH("ActivityType",TARIFF_TABLE[#Headers]))="Investigation",INDEX(TARIFF_TABLE[#All], MATCH($B94,TARIFF_TABLE[[#All],[Activity]],0),MATCH("Cost",TARIFF_TABLE[#Headers])),INDEX(Staff_Costs[#All],MATCH(D94,Staff_Costs[[#All],[Role]],0),MATCH("Per-minute cost",Staff_Costs[#Headers],0))*C94)</f>
        <v>#N/A</v>
      </c>
      <c r="K94" s="476" t="e">
        <f t="shared" si="9"/>
        <v>#N/A</v>
      </c>
      <c r="L94" s="476" t="e">
        <f>IF(INDEX(TARIFF_TABLE[#All], MATCH($B94,TARIFF_TABLE[[#All],[Activity]],0),MATCH("ActivityType",TARIFF_TABLE[#Headers]))="Investigation",INDEX(TARIFF_TABLE[#All], MATCH($B94,TARIFF_TABLE[[#All],[Activity]],0),MATCH("Cost",TARIFF_TABLE[#Headers])),INDEX(Staff_Costs[#All],MATCH(F94,Staff_Costs[[#All],[Role]],0),MATCH("Per-minute cost",Staff_Costs[#Headers],0))*D94)</f>
        <v>#N/A</v>
      </c>
      <c r="M94" s="476" t="e">
        <f t="shared" si="10"/>
        <v>#N/A</v>
      </c>
      <c r="N94" s="476" t="e">
        <f>IF(INDEX(TARIFF_TABLE[#All], MATCH($B94,TARIFF_TABLE[[#All],[Activity]],0),MATCH("ActivityType",TARIFF_TABLE[#Headers]))="Investigation",INDEX(TARIFF_TABLE[#All], MATCH($B94,TARIFF_TABLE[[#All],[Activity]],0),MATCH("Cost",TARIFF_TABLE[#Headers])),INDEX(Staff_Costs[#All],MATCH(G94,Staff_Costs[[#All],[Role]],0),MATCH("Per-minute cost",Staff_Costs[#Headers],0))*F94)</f>
        <v>#N/A</v>
      </c>
      <c r="O94" s="476" t="e">
        <f>IF(INDEX(TARIFF_TABLE[#All], MATCH($B94,TARIFF_TABLE[[#All],[Activity]],0),MATCH("ActivityType",TARIFF_TABLE[#Headers]))="Investigation",INDEX(TARIFF_TABLE[#All], MATCH($B94,TARIFF_TABLE[[#All],[Activity]],0),MATCH("Cost",TARIFF_TABLE[#Headers])),INDEX(Staff_Costs[#All],MATCH(H94,Staff_Costs[[#All],[Role]],0),MATCH("Per-minute cost",Staff_Costs[#Headers],0))*G94)</f>
        <v>#N/A</v>
      </c>
      <c r="P94" s="476" t="e">
        <f>INDEX('Tariff (hidden)'!$B$4:$B$133,MATCH(B94,'Tariff (hidden)'!$A$4:$A$133,0))</f>
        <v>#N/A</v>
      </c>
    </row>
    <row r="95" spans="1:16" x14ac:dyDescent="0.25">
      <c r="A95" s="147"/>
      <c r="B95" s="147"/>
      <c r="C95" s="148"/>
      <c r="D95" s="540"/>
      <c r="E95" s="538"/>
      <c r="F95" s="474"/>
      <c r="G95" s="474"/>
      <c r="H95" s="474"/>
      <c r="I95" s="474"/>
      <c r="J95" s="475" t="e">
        <f>IF(INDEX(TARIFF_TABLE[#All], MATCH($B95,TARIFF_TABLE[[#All],[Activity]],0),MATCH("ActivityType",TARIFF_TABLE[#Headers]))="Investigation",INDEX(TARIFF_TABLE[#All], MATCH($B95,TARIFF_TABLE[[#All],[Activity]],0),MATCH("Cost",TARIFF_TABLE[#Headers])),INDEX(Staff_Costs[#All],MATCH(D95,Staff_Costs[[#All],[Role]],0),MATCH("Per-minute cost",Staff_Costs[#Headers],0))*C95)</f>
        <v>#N/A</v>
      </c>
      <c r="K95" s="476" t="e">
        <f t="shared" si="9"/>
        <v>#N/A</v>
      </c>
      <c r="L95" s="476" t="e">
        <f>IF(INDEX(TARIFF_TABLE[#All], MATCH($B95,TARIFF_TABLE[[#All],[Activity]],0),MATCH("ActivityType",TARIFF_TABLE[#Headers]))="Investigation",INDEX(TARIFF_TABLE[#All], MATCH($B95,TARIFF_TABLE[[#All],[Activity]],0),MATCH("Cost",TARIFF_TABLE[#Headers])),INDEX(Staff_Costs[#All],MATCH(F95,Staff_Costs[[#All],[Role]],0),MATCH("Per-minute cost",Staff_Costs[#Headers],0))*D95)</f>
        <v>#N/A</v>
      </c>
      <c r="M95" s="476" t="e">
        <f t="shared" si="10"/>
        <v>#N/A</v>
      </c>
      <c r="N95" s="476" t="e">
        <f>IF(INDEX(TARIFF_TABLE[#All], MATCH($B95,TARIFF_TABLE[[#All],[Activity]],0),MATCH("ActivityType",TARIFF_TABLE[#Headers]))="Investigation",INDEX(TARIFF_TABLE[#All], MATCH($B95,TARIFF_TABLE[[#All],[Activity]],0),MATCH("Cost",TARIFF_TABLE[#Headers])),INDEX(Staff_Costs[#All],MATCH(G95,Staff_Costs[[#All],[Role]],0),MATCH("Per-minute cost",Staff_Costs[#Headers],0))*F95)</f>
        <v>#N/A</v>
      </c>
      <c r="O95" s="476" t="e">
        <f>IF(INDEX(TARIFF_TABLE[#All], MATCH($B95,TARIFF_TABLE[[#All],[Activity]],0),MATCH("ActivityType",TARIFF_TABLE[#Headers]))="Investigation",INDEX(TARIFF_TABLE[#All], MATCH($B95,TARIFF_TABLE[[#All],[Activity]],0),MATCH("Cost",TARIFF_TABLE[#Headers])),INDEX(Staff_Costs[#All],MATCH(H95,Staff_Costs[[#All],[Role]],0),MATCH("Per-minute cost",Staff_Costs[#Headers],0))*G95)</f>
        <v>#N/A</v>
      </c>
      <c r="P95" s="476" t="e">
        <f>INDEX('Tariff (hidden)'!$B$4:$B$133,MATCH(B95,'Tariff (hidden)'!$A$4:$A$133,0))</f>
        <v>#N/A</v>
      </c>
    </row>
    <row r="96" spans="1:16" x14ac:dyDescent="0.25">
      <c r="A96" s="147"/>
      <c r="B96" s="147"/>
      <c r="C96" s="148"/>
      <c r="D96" s="540"/>
      <c r="E96" s="538"/>
      <c r="F96" s="474"/>
      <c r="G96" s="474"/>
      <c r="H96" s="474"/>
      <c r="I96" s="474"/>
      <c r="J96" s="475" t="e">
        <f>IF(INDEX(TARIFF_TABLE[#All], MATCH($B96,TARIFF_TABLE[[#All],[Activity]],0),MATCH("ActivityType",TARIFF_TABLE[#Headers]))="Investigation",INDEX(TARIFF_TABLE[#All], MATCH($B96,TARIFF_TABLE[[#All],[Activity]],0),MATCH("Cost",TARIFF_TABLE[#Headers])),INDEX(Staff_Costs[#All],MATCH(D96,Staff_Costs[[#All],[Role]],0),MATCH("Per-minute cost",Staff_Costs[#Headers],0))*C96)</f>
        <v>#N/A</v>
      </c>
      <c r="K96" s="476" t="e">
        <f t="shared" si="9"/>
        <v>#N/A</v>
      </c>
      <c r="L96" s="476" t="e">
        <f>IF(INDEX(TARIFF_TABLE[#All], MATCH($B96,TARIFF_TABLE[[#All],[Activity]],0),MATCH("ActivityType",TARIFF_TABLE[#Headers]))="Investigation",INDEX(TARIFF_TABLE[#All], MATCH($B96,TARIFF_TABLE[[#All],[Activity]],0),MATCH("Cost",TARIFF_TABLE[#Headers])),INDEX(Staff_Costs[#All],MATCH(F96,Staff_Costs[[#All],[Role]],0),MATCH("Per-minute cost",Staff_Costs[#Headers],0))*D96)</f>
        <v>#N/A</v>
      </c>
      <c r="M96" s="476" t="e">
        <f t="shared" si="10"/>
        <v>#N/A</v>
      </c>
      <c r="N96" s="476" t="e">
        <f>IF(INDEX(TARIFF_TABLE[#All], MATCH($B96,TARIFF_TABLE[[#All],[Activity]],0),MATCH("ActivityType",TARIFF_TABLE[#Headers]))="Investigation",INDEX(TARIFF_TABLE[#All], MATCH($B96,TARIFF_TABLE[[#All],[Activity]],0),MATCH("Cost",TARIFF_TABLE[#Headers])),INDEX(Staff_Costs[#All],MATCH(G96,Staff_Costs[[#All],[Role]],0),MATCH("Per-minute cost",Staff_Costs[#Headers],0))*F96)</f>
        <v>#N/A</v>
      </c>
      <c r="O96" s="476" t="e">
        <f>IF(INDEX(TARIFF_TABLE[#All], MATCH($B96,TARIFF_TABLE[[#All],[Activity]],0),MATCH("ActivityType",TARIFF_TABLE[#Headers]))="Investigation",INDEX(TARIFF_TABLE[#All], MATCH($B96,TARIFF_TABLE[[#All],[Activity]],0),MATCH("Cost",TARIFF_TABLE[#Headers])),INDEX(Staff_Costs[#All],MATCH(H96,Staff_Costs[[#All],[Role]],0),MATCH("Per-minute cost",Staff_Costs[#Headers],0))*G96)</f>
        <v>#N/A</v>
      </c>
      <c r="P96" s="476" t="e">
        <f>INDEX('Tariff (hidden)'!$B$4:$B$133,MATCH(B96,'Tariff (hidden)'!$A$4:$A$133,0))</f>
        <v>#N/A</v>
      </c>
    </row>
    <row r="97" spans="1:16" x14ac:dyDescent="0.25">
      <c r="A97" s="147"/>
      <c r="B97" s="147"/>
      <c r="C97" s="148"/>
      <c r="D97" s="540"/>
      <c r="E97" s="538"/>
      <c r="F97" s="474"/>
      <c r="G97" s="474"/>
      <c r="H97" s="474"/>
      <c r="I97" s="474"/>
      <c r="J97" s="475" t="e">
        <f>IF(INDEX(TARIFF_TABLE[#All], MATCH($B97,TARIFF_TABLE[[#All],[Activity]],0),MATCH("ActivityType",TARIFF_TABLE[#Headers]))="Investigation",INDEX(TARIFF_TABLE[#All], MATCH($B97,TARIFF_TABLE[[#All],[Activity]],0),MATCH("Cost",TARIFF_TABLE[#Headers])),INDEX(Staff_Costs[#All],MATCH(D97,Staff_Costs[[#All],[Role]],0),MATCH("Per-minute cost",Staff_Costs[#Headers],0))*C97)</f>
        <v>#N/A</v>
      </c>
      <c r="K97" s="476" t="e">
        <f t="shared" si="9"/>
        <v>#N/A</v>
      </c>
      <c r="L97" s="476" t="e">
        <f>IF(INDEX(TARIFF_TABLE[#All], MATCH($B97,TARIFF_TABLE[[#All],[Activity]],0),MATCH("ActivityType",TARIFF_TABLE[#Headers]))="Investigation",INDEX(TARIFF_TABLE[#All], MATCH($B97,TARIFF_TABLE[[#All],[Activity]],0),MATCH("Cost",TARIFF_TABLE[#Headers])),INDEX(Staff_Costs[#All],MATCH(F97,Staff_Costs[[#All],[Role]],0),MATCH("Per-minute cost",Staff_Costs[#Headers],0))*D97)</f>
        <v>#N/A</v>
      </c>
      <c r="M97" s="476" t="e">
        <f t="shared" si="10"/>
        <v>#N/A</v>
      </c>
      <c r="N97" s="476" t="e">
        <f>IF(INDEX(TARIFF_TABLE[#All], MATCH($B97,TARIFF_TABLE[[#All],[Activity]],0),MATCH("ActivityType",TARIFF_TABLE[#Headers]))="Investigation",INDEX(TARIFF_TABLE[#All], MATCH($B97,TARIFF_TABLE[[#All],[Activity]],0),MATCH("Cost",TARIFF_TABLE[#Headers])),INDEX(Staff_Costs[#All],MATCH(G97,Staff_Costs[[#All],[Role]],0),MATCH("Per-minute cost",Staff_Costs[#Headers],0))*F97)</f>
        <v>#N/A</v>
      </c>
      <c r="O97" s="476" t="e">
        <f>IF(INDEX(TARIFF_TABLE[#All], MATCH($B97,TARIFF_TABLE[[#All],[Activity]],0),MATCH("ActivityType",TARIFF_TABLE[#Headers]))="Investigation",INDEX(TARIFF_TABLE[#All], MATCH($B97,TARIFF_TABLE[[#All],[Activity]],0),MATCH("Cost",TARIFF_TABLE[#Headers])),INDEX(Staff_Costs[#All],MATCH(H97,Staff_Costs[[#All],[Role]],0),MATCH("Per-minute cost",Staff_Costs[#Headers],0))*G97)</f>
        <v>#N/A</v>
      </c>
      <c r="P97" s="476" t="e">
        <f>INDEX('Tariff (hidden)'!$B$4:$B$133,MATCH(B97,'Tariff (hidden)'!$A$4:$A$133,0))</f>
        <v>#N/A</v>
      </c>
    </row>
    <row r="98" spans="1:16" x14ac:dyDescent="0.25">
      <c r="A98" s="147"/>
      <c r="B98" s="147"/>
      <c r="C98" s="148"/>
      <c r="D98" s="540"/>
      <c r="E98" s="538"/>
      <c r="F98" s="474"/>
      <c r="G98" s="474"/>
      <c r="H98" s="474"/>
      <c r="I98" s="474"/>
      <c r="J98" s="475" t="e">
        <f>IF(INDEX(TARIFF_TABLE[#All], MATCH($B98,TARIFF_TABLE[[#All],[Activity]],0),MATCH("ActivityType",TARIFF_TABLE[#Headers]))="Investigation",INDEX(TARIFF_TABLE[#All], MATCH($B98,TARIFF_TABLE[[#All],[Activity]],0),MATCH("Cost",TARIFF_TABLE[#Headers])),INDEX(Staff_Costs[#All],MATCH(D98,Staff_Costs[[#All],[Role]],0),MATCH("Per-minute cost",Staff_Costs[#Headers],0))*C98)</f>
        <v>#N/A</v>
      </c>
      <c r="K98" s="476" t="e">
        <f t="shared" si="9"/>
        <v>#N/A</v>
      </c>
      <c r="L98" s="476" t="e">
        <f>IF(INDEX(TARIFF_TABLE[#All], MATCH($B98,TARIFF_TABLE[[#All],[Activity]],0),MATCH("ActivityType",TARIFF_TABLE[#Headers]))="Investigation",INDEX(TARIFF_TABLE[#All], MATCH($B98,TARIFF_TABLE[[#All],[Activity]],0),MATCH("Cost",TARIFF_TABLE[#Headers])),INDEX(Staff_Costs[#All],MATCH(F98,Staff_Costs[[#All],[Role]],0),MATCH("Per-minute cost",Staff_Costs[#Headers],0))*D98)</f>
        <v>#N/A</v>
      </c>
      <c r="M98" s="476" t="e">
        <f t="shared" si="10"/>
        <v>#N/A</v>
      </c>
      <c r="N98" s="476" t="e">
        <f>IF(INDEX(TARIFF_TABLE[#All], MATCH($B98,TARIFF_TABLE[[#All],[Activity]],0),MATCH("ActivityType",TARIFF_TABLE[#Headers]))="Investigation",INDEX(TARIFF_TABLE[#All], MATCH($B98,TARIFF_TABLE[[#All],[Activity]],0),MATCH("Cost",TARIFF_TABLE[#Headers])),INDEX(Staff_Costs[#All],MATCH(G98,Staff_Costs[[#All],[Role]],0),MATCH("Per-minute cost",Staff_Costs[#Headers],0))*F98)</f>
        <v>#N/A</v>
      </c>
      <c r="O98" s="476" t="e">
        <f>IF(INDEX(TARIFF_TABLE[#All], MATCH($B98,TARIFF_TABLE[[#All],[Activity]],0),MATCH("ActivityType",TARIFF_TABLE[#Headers]))="Investigation",INDEX(TARIFF_TABLE[#All], MATCH($B98,TARIFF_TABLE[[#All],[Activity]],0),MATCH("Cost",TARIFF_TABLE[#Headers])),INDEX(Staff_Costs[#All],MATCH(H98,Staff_Costs[[#All],[Role]],0),MATCH("Per-minute cost",Staff_Costs[#Headers],0))*G98)</f>
        <v>#N/A</v>
      </c>
      <c r="P98" s="476" t="e">
        <f>INDEX('Tariff (hidden)'!$B$4:$B$133,MATCH(B98,'Tariff (hidden)'!$A$4:$A$133,0))</f>
        <v>#N/A</v>
      </c>
    </row>
    <row r="99" spans="1:16" x14ac:dyDescent="0.25">
      <c r="A99" s="147"/>
      <c r="B99" s="147"/>
      <c r="C99" s="148"/>
      <c r="D99" s="540"/>
      <c r="E99" s="538"/>
      <c r="F99" s="474"/>
      <c r="G99" s="474"/>
      <c r="H99" s="474"/>
      <c r="I99" s="474"/>
      <c r="J99" s="475" t="e">
        <f>IF(INDEX(TARIFF_TABLE[#All], MATCH($B99,TARIFF_TABLE[[#All],[Activity]],0),MATCH("ActivityType",TARIFF_TABLE[#Headers]))="Investigation",INDEX(TARIFF_TABLE[#All], MATCH($B99,TARIFF_TABLE[[#All],[Activity]],0),MATCH("Cost",TARIFF_TABLE[#Headers])),INDEX(Staff_Costs[#All],MATCH(D99,Staff_Costs[[#All],[Role]],0),MATCH("Per-minute cost",Staff_Costs[#Headers],0))*C99)</f>
        <v>#N/A</v>
      </c>
      <c r="K99" s="476" t="e">
        <f t="shared" si="9"/>
        <v>#N/A</v>
      </c>
      <c r="L99" s="476" t="e">
        <f>IF(INDEX(TARIFF_TABLE[#All], MATCH($B99,TARIFF_TABLE[[#All],[Activity]],0),MATCH("ActivityType",TARIFF_TABLE[#Headers]))="Investigation",INDEX(TARIFF_TABLE[#All], MATCH($B99,TARIFF_TABLE[[#All],[Activity]],0),MATCH("Cost",TARIFF_TABLE[#Headers])),INDEX(Staff_Costs[#All],MATCH(F99,Staff_Costs[[#All],[Role]],0),MATCH("Per-minute cost",Staff_Costs[#Headers],0))*D99)</f>
        <v>#N/A</v>
      </c>
      <c r="M99" s="476" t="e">
        <f t="shared" si="10"/>
        <v>#N/A</v>
      </c>
      <c r="N99" s="476" t="e">
        <f>IF(INDEX(TARIFF_TABLE[#All], MATCH($B99,TARIFF_TABLE[[#All],[Activity]],0),MATCH("ActivityType",TARIFF_TABLE[#Headers]))="Investigation",INDEX(TARIFF_TABLE[#All], MATCH($B99,TARIFF_TABLE[[#All],[Activity]],0),MATCH("Cost",TARIFF_TABLE[#Headers])),INDEX(Staff_Costs[#All],MATCH(G99,Staff_Costs[[#All],[Role]],0),MATCH("Per-minute cost",Staff_Costs[#Headers],0))*F99)</f>
        <v>#N/A</v>
      </c>
      <c r="O99" s="476" t="e">
        <f>IF(INDEX(TARIFF_TABLE[#All], MATCH($B99,TARIFF_TABLE[[#All],[Activity]],0),MATCH("ActivityType",TARIFF_TABLE[#Headers]))="Investigation",INDEX(TARIFF_TABLE[#All], MATCH($B99,TARIFF_TABLE[[#All],[Activity]],0),MATCH("Cost",TARIFF_TABLE[#Headers])),INDEX(Staff_Costs[#All],MATCH(H99,Staff_Costs[[#All],[Role]],0),MATCH("Per-minute cost",Staff_Costs[#Headers],0))*G99)</f>
        <v>#N/A</v>
      </c>
      <c r="P99" s="476" t="e">
        <f>INDEX('Tariff (hidden)'!$B$4:$B$133,MATCH(B99,'Tariff (hidden)'!$A$4:$A$133,0))</f>
        <v>#N/A</v>
      </c>
    </row>
    <row r="100" spans="1:16" x14ac:dyDescent="0.25">
      <c r="A100" s="147"/>
      <c r="B100" s="147"/>
      <c r="C100" s="148"/>
      <c r="D100" s="540"/>
      <c r="E100" s="538"/>
      <c r="F100" s="474"/>
      <c r="G100" s="474"/>
      <c r="H100" s="474"/>
      <c r="I100" s="474"/>
      <c r="J100" s="475" t="e">
        <f>IF(INDEX(TARIFF_TABLE[#All], MATCH($B100,TARIFF_TABLE[[#All],[Activity]],0),MATCH("ActivityType",TARIFF_TABLE[#Headers]))="Investigation",INDEX(TARIFF_TABLE[#All], MATCH($B100,TARIFF_TABLE[[#All],[Activity]],0),MATCH("Cost",TARIFF_TABLE[#Headers])),INDEX(Staff_Costs[#All],MATCH(D100,Staff_Costs[[#All],[Role]],0),MATCH("Per-minute cost",Staff_Costs[#Headers],0))*C100)</f>
        <v>#N/A</v>
      </c>
      <c r="K100" s="476" t="e">
        <f t="shared" si="9"/>
        <v>#N/A</v>
      </c>
      <c r="L100" s="476" t="e">
        <f>IF(INDEX(TARIFF_TABLE[#All], MATCH($B100,TARIFF_TABLE[[#All],[Activity]],0),MATCH("ActivityType",TARIFF_TABLE[#Headers]))="Investigation",INDEX(TARIFF_TABLE[#All], MATCH($B100,TARIFF_TABLE[[#All],[Activity]],0),MATCH("Cost",TARIFF_TABLE[#Headers])),INDEX(Staff_Costs[#All],MATCH(F100,Staff_Costs[[#All],[Role]],0),MATCH("Per-minute cost",Staff_Costs[#Headers],0))*D100)</f>
        <v>#N/A</v>
      </c>
      <c r="M100" s="476" t="e">
        <f t="shared" si="10"/>
        <v>#N/A</v>
      </c>
      <c r="N100" s="476" t="e">
        <f>IF(INDEX(TARIFF_TABLE[#All], MATCH($B100,TARIFF_TABLE[[#All],[Activity]],0),MATCH("ActivityType",TARIFF_TABLE[#Headers]))="Investigation",INDEX(TARIFF_TABLE[#All], MATCH($B100,TARIFF_TABLE[[#All],[Activity]],0),MATCH("Cost",TARIFF_TABLE[#Headers])),INDEX(Staff_Costs[#All],MATCH(G100,Staff_Costs[[#All],[Role]],0),MATCH("Per-minute cost",Staff_Costs[#Headers],0))*F100)</f>
        <v>#N/A</v>
      </c>
      <c r="O100" s="476" t="e">
        <f>IF(INDEX(TARIFF_TABLE[#All], MATCH($B100,TARIFF_TABLE[[#All],[Activity]],0),MATCH("ActivityType",TARIFF_TABLE[#Headers]))="Investigation",INDEX(TARIFF_TABLE[#All], MATCH($B100,TARIFF_TABLE[[#All],[Activity]],0),MATCH("Cost",TARIFF_TABLE[#Headers])),INDEX(Staff_Costs[#All],MATCH(H100,Staff_Costs[[#All],[Role]],0),MATCH("Per-minute cost",Staff_Costs[#Headers],0))*G100)</f>
        <v>#N/A</v>
      </c>
      <c r="P100" s="476" t="e">
        <f>INDEX('Tariff (hidden)'!$B$4:$B$133,MATCH(B100,'Tariff (hidden)'!$A$4:$A$133,0))</f>
        <v>#N/A</v>
      </c>
    </row>
    <row r="101" spans="1:16" x14ac:dyDescent="0.25">
      <c r="A101" s="147"/>
      <c r="B101" s="147"/>
      <c r="C101" s="148"/>
      <c r="D101" s="540"/>
      <c r="E101" s="538"/>
      <c r="F101" s="474"/>
      <c r="G101" s="474"/>
      <c r="H101" s="474"/>
      <c r="I101" s="474"/>
      <c r="J101" s="475" t="e">
        <f>IF(INDEX(TARIFF_TABLE[#All], MATCH($B101,TARIFF_TABLE[[#All],[Activity]],0),MATCH("ActivityType",TARIFF_TABLE[#Headers]))="Investigation",INDEX(TARIFF_TABLE[#All], MATCH($B101,TARIFF_TABLE[[#All],[Activity]],0),MATCH("Cost",TARIFF_TABLE[#Headers])),INDEX(Staff_Costs[#All],MATCH(D101,Staff_Costs[[#All],[Role]],0),MATCH("Per-minute cost",Staff_Costs[#Headers],0))*C101)</f>
        <v>#N/A</v>
      </c>
      <c r="K101" s="476" t="e">
        <f t="shared" si="9"/>
        <v>#N/A</v>
      </c>
      <c r="L101" s="476" t="e">
        <f>IF(INDEX(TARIFF_TABLE[#All], MATCH($B101,TARIFF_TABLE[[#All],[Activity]],0),MATCH("ActivityType",TARIFF_TABLE[#Headers]))="Investigation",INDEX(TARIFF_TABLE[#All], MATCH($B101,TARIFF_TABLE[[#All],[Activity]],0),MATCH("Cost",TARIFF_TABLE[#Headers])),INDEX(Staff_Costs[#All],MATCH(F101,Staff_Costs[[#All],[Role]],0),MATCH("Per-minute cost",Staff_Costs[#Headers],0))*D101)</f>
        <v>#N/A</v>
      </c>
      <c r="M101" s="476" t="e">
        <f t="shared" si="10"/>
        <v>#N/A</v>
      </c>
      <c r="N101" s="476" t="e">
        <f>IF(INDEX(TARIFF_TABLE[#All], MATCH($B101,TARIFF_TABLE[[#All],[Activity]],0),MATCH("ActivityType",TARIFF_TABLE[#Headers]))="Investigation",INDEX(TARIFF_TABLE[#All], MATCH($B101,TARIFF_TABLE[[#All],[Activity]],0),MATCH("Cost",TARIFF_TABLE[#Headers])),INDEX(Staff_Costs[#All],MATCH(G101,Staff_Costs[[#All],[Role]],0),MATCH("Per-minute cost",Staff_Costs[#Headers],0))*F101)</f>
        <v>#N/A</v>
      </c>
      <c r="O101" s="476" t="e">
        <f>IF(INDEX(TARIFF_TABLE[#All], MATCH($B101,TARIFF_TABLE[[#All],[Activity]],0),MATCH("ActivityType",TARIFF_TABLE[#Headers]))="Investigation",INDEX(TARIFF_TABLE[#All], MATCH($B101,TARIFF_TABLE[[#All],[Activity]],0),MATCH("Cost",TARIFF_TABLE[#Headers])),INDEX(Staff_Costs[#All],MATCH(H101,Staff_Costs[[#All],[Role]],0),MATCH("Per-minute cost",Staff_Costs[#Headers],0))*G101)</f>
        <v>#N/A</v>
      </c>
      <c r="P101" s="476" t="e">
        <f>INDEX('Tariff (hidden)'!$B$4:$B$133,MATCH(B101,'Tariff (hidden)'!$A$4:$A$133,0))</f>
        <v>#N/A</v>
      </c>
    </row>
    <row r="102" spans="1:16" x14ac:dyDescent="0.25">
      <c r="A102" s="147"/>
      <c r="B102" s="147"/>
      <c r="C102" s="148"/>
      <c r="D102" s="540"/>
      <c r="E102" s="538"/>
      <c r="F102" s="474"/>
      <c r="G102" s="474"/>
      <c r="H102" s="474"/>
      <c r="I102" s="474"/>
      <c r="J102" s="475" t="e">
        <f>IF(INDEX(TARIFF_TABLE[#All], MATCH($B102,TARIFF_TABLE[[#All],[Activity]],0),MATCH("ActivityType",TARIFF_TABLE[#Headers]))="Investigation",INDEX(TARIFF_TABLE[#All], MATCH($B102,TARIFF_TABLE[[#All],[Activity]],0),MATCH("Cost",TARIFF_TABLE[#Headers])),INDEX(Staff_Costs[#All],MATCH(D102,Staff_Costs[[#All],[Role]],0),MATCH("Per-minute cost",Staff_Costs[#Headers],0))*C102)</f>
        <v>#N/A</v>
      </c>
      <c r="K102" s="476" t="e">
        <f t="shared" si="9"/>
        <v>#N/A</v>
      </c>
      <c r="L102" s="476" t="e">
        <f>IF(INDEX(TARIFF_TABLE[#All], MATCH($B102,TARIFF_TABLE[[#All],[Activity]],0),MATCH("ActivityType",TARIFF_TABLE[#Headers]))="Investigation",INDEX(TARIFF_TABLE[#All], MATCH($B102,TARIFF_TABLE[[#All],[Activity]],0),MATCH("Cost",TARIFF_TABLE[#Headers])),INDEX(Staff_Costs[#All],MATCH(F102,Staff_Costs[[#All],[Role]],0),MATCH("Per-minute cost",Staff_Costs[#Headers],0))*D102)</f>
        <v>#N/A</v>
      </c>
      <c r="M102" s="476" t="e">
        <f t="shared" si="10"/>
        <v>#N/A</v>
      </c>
      <c r="N102" s="476" t="e">
        <f>IF(INDEX(TARIFF_TABLE[#All], MATCH($B102,TARIFF_TABLE[[#All],[Activity]],0),MATCH("ActivityType",TARIFF_TABLE[#Headers]))="Investigation",INDEX(TARIFF_TABLE[#All], MATCH($B102,TARIFF_TABLE[[#All],[Activity]],0),MATCH("Cost",TARIFF_TABLE[#Headers])),INDEX(Staff_Costs[#All],MATCH(G102,Staff_Costs[[#All],[Role]],0),MATCH("Per-minute cost",Staff_Costs[#Headers],0))*F102)</f>
        <v>#N/A</v>
      </c>
      <c r="O102" s="476" t="e">
        <f>IF(INDEX(TARIFF_TABLE[#All], MATCH($B102,TARIFF_TABLE[[#All],[Activity]],0),MATCH("ActivityType",TARIFF_TABLE[#Headers]))="Investigation",INDEX(TARIFF_TABLE[#All], MATCH($B102,TARIFF_TABLE[[#All],[Activity]],0),MATCH("Cost",TARIFF_TABLE[#Headers])),INDEX(Staff_Costs[#All],MATCH(H102,Staff_Costs[[#All],[Role]],0),MATCH("Per-minute cost",Staff_Costs[#Headers],0))*G102)</f>
        <v>#N/A</v>
      </c>
      <c r="P102" s="476" t="e">
        <f>INDEX('Tariff (hidden)'!$B$4:$B$133,MATCH(B102,'Tariff (hidden)'!$A$4:$A$133,0))</f>
        <v>#N/A</v>
      </c>
    </row>
    <row r="103" spans="1:16" x14ac:dyDescent="0.25">
      <c r="A103" s="147"/>
      <c r="B103" s="147"/>
      <c r="C103" s="148"/>
      <c r="D103" s="540"/>
      <c r="E103" s="538"/>
      <c r="F103" s="474"/>
      <c r="G103" s="474"/>
      <c r="H103" s="474"/>
      <c r="I103" s="474"/>
      <c r="J103" s="475" t="e">
        <f>IF(INDEX(TARIFF_TABLE[#All], MATCH($B103,TARIFF_TABLE[[#All],[Activity]],0),MATCH("ActivityType",TARIFF_TABLE[#Headers]))="Investigation",INDEX(TARIFF_TABLE[#All], MATCH($B103,TARIFF_TABLE[[#All],[Activity]],0),MATCH("Cost",TARIFF_TABLE[#Headers])),INDEX(Staff_Costs[#All],MATCH(D103,Staff_Costs[[#All],[Role]],0),MATCH("Per-minute cost",Staff_Costs[#Headers],0))*C103)</f>
        <v>#N/A</v>
      </c>
      <c r="K103" s="476" t="e">
        <f t="shared" si="9"/>
        <v>#N/A</v>
      </c>
      <c r="L103" s="476" t="e">
        <f>IF(INDEX(TARIFF_TABLE[#All], MATCH($B103,TARIFF_TABLE[[#All],[Activity]],0),MATCH("ActivityType",TARIFF_TABLE[#Headers]))="Investigation",INDEX(TARIFF_TABLE[#All], MATCH($B103,TARIFF_TABLE[[#All],[Activity]],0),MATCH("Cost",TARIFF_TABLE[#Headers])),INDEX(Staff_Costs[#All],MATCH(F103,Staff_Costs[[#All],[Role]],0),MATCH("Per-minute cost",Staff_Costs[#Headers],0))*D103)</f>
        <v>#N/A</v>
      </c>
      <c r="M103" s="476" t="e">
        <f t="shared" si="10"/>
        <v>#N/A</v>
      </c>
      <c r="N103" s="476" t="e">
        <f>IF(INDEX(TARIFF_TABLE[#All], MATCH($B103,TARIFF_TABLE[[#All],[Activity]],0),MATCH("ActivityType",TARIFF_TABLE[#Headers]))="Investigation",INDEX(TARIFF_TABLE[#All], MATCH($B103,TARIFF_TABLE[[#All],[Activity]],0),MATCH("Cost",TARIFF_TABLE[#Headers])),INDEX(Staff_Costs[#All],MATCH(G103,Staff_Costs[[#All],[Role]],0),MATCH("Per-minute cost",Staff_Costs[#Headers],0))*F103)</f>
        <v>#N/A</v>
      </c>
      <c r="O103" s="476" t="e">
        <f>IF(INDEX(TARIFF_TABLE[#All], MATCH($B103,TARIFF_TABLE[[#All],[Activity]],0),MATCH("ActivityType",TARIFF_TABLE[#Headers]))="Investigation",INDEX(TARIFF_TABLE[#All], MATCH($B103,TARIFF_TABLE[[#All],[Activity]],0),MATCH("Cost",TARIFF_TABLE[#Headers])),INDEX(Staff_Costs[#All],MATCH(H103,Staff_Costs[[#All],[Role]],0),MATCH("Per-minute cost",Staff_Costs[#Headers],0))*G103)</f>
        <v>#N/A</v>
      </c>
      <c r="P103" s="476" t="e">
        <f>INDEX('Tariff (hidden)'!$B$4:$B$133,MATCH(B103,'Tariff (hidden)'!$A$4:$A$133,0))</f>
        <v>#N/A</v>
      </c>
    </row>
    <row r="104" spans="1:16" x14ac:dyDescent="0.25">
      <c r="A104" s="147"/>
      <c r="B104" s="147"/>
      <c r="C104" s="148"/>
      <c r="D104" s="540"/>
      <c r="E104" s="538"/>
      <c r="F104" s="474"/>
      <c r="G104" s="474"/>
      <c r="H104" s="474"/>
      <c r="I104" s="474"/>
      <c r="J104" s="475" t="e">
        <f>IF(INDEX(TARIFF_TABLE[#All], MATCH($B104,TARIFF_TABLE[[#All],[Activity]],0),MATCH("ActivityType",TARIFF_TABLE[#Headers]))="Investigation",INDEX(TARIFF_TABLE[#All], MATCH($B104,TARIFF_TABLE[[#All],[Activity]],0),MATCH("Cost",TARIFF_TABLE[#Headers])),INDEX(Staff_Costs[#All],MATCH(D104,Staff_Costs[[#All],[Role]],0),MATCH("Per-minute cost",Staff_Costs[#Headers],0))*C104)</f>
        <v>#N/A</v>
      </c>
      <c r="K104" s="476" t="e">
        <f t="shared" si="9"/>
        <v>#N/A</v>
      </c>
      <c r="L104" s="476" t="e">
        <f>IF(INDEX(TARIFF_TABLE[#All], MATCH($B104,TARIFF_TABLE[[#All],[Activity]],0),MATCH("ActivityType",TARIFF_TABLE[#Headers]))="Investigation",INDEX(TARIFF_TABLE[#All], MATCH($B104,TARIFF_TABLE[[#All],[Activity]],0),MATCH("Cost",TARIFF_TABLE[#Headers])),INDEX(Staff_Costs[#All],MATCH(F104,Staff_Costs[[#All],[Role]],0),MATCH("Per-minute cost",Staff_Costs[#Headers],0))*D104)</f>
        <v>#N/A</v>
      </c>
      <c r="M104" s="476" t="e">
        <f t="shared" si="10"/>
        <v>#N/A</v>
      </c>
      <c r="N104" s="476" t="e">
        <f>IF(INDEX(TARIFF_TABLE[#All], MATCH($B104,TARIFF_TABLE[[#All],[Activity]],0),MATCH("ActivityType",TARIFF_TABLE[#Headers]))="Investigation",INDEX(TARIFF_TABLE[#All], MATCH($B104,TARIFF_TABLE[[#All],[Activity]],0),MATCH("Cost",TARIFF_TABLE[#Headers])),INDEX(Staff_Costs[#All],MATCH(G104,Staff_Costs[[#All],[Role]],0),MATCH("Per-minute cost",Staff_Costs[#Headers],0))*F104)</f>
        <v>#N/A</v>
      </c>
      <c r="O104" s="476" t="e">
        <f>IF(INDEX(TARIFF_TABLE[#All], MATCH($B104,TARIFF_TABLE[[#All],[Activity]],0),MATCH("ActivityType",TARIFF_TABLE[#Headers]))="Investigation",INDEX(TARIFF_TABLE[#All], MATCH($B104,TARIFF_TABLE[[#All],[Activity]],0),MATCH("Cost",TARIFF_TABLE[#Headers])),INDEX(Staff_Costs[#All],MATCH(H104,Staff_Costs[[#All],[Role]],0),MATCH("Per-minute cost",Staff_Costs[#Headers],0))*G104)</f>
        <v>#N/A</v>
      </c>
      <c r="P104" s="476" t="e">
        <f>INDEX('Tariff (hidden)'!$B$4:$B$133,MATCH(B104,'Tariff (hidden)'!$A$4:$A$133,0))</f>
        <v>#N/A</v>
      </c>
    </row>
    <row r="105" spans="1:16" x14ac:dyDescent="0.25">
      <c r="A105" s="147"/>
      <c r="B105" s="147"/>
      <c r="C105" s="148"/>
      <c r="D105" s="540"/>
      <c r="E105" s="538"/>
      <c r="F105" s="474"/>
      <c r="G105" s="474"/>
      <c r="H105" s="474"/>
      <c r="I105" s="474"/>
      <c r="J105" s="475" t="e">
        <f>IF(INDEX(TARIFF_TABLE[#All], MATCH($B105,TARIFF_TABLE[[#All],[Activity]],0),MATCH("ActivityType",TARIFF_TABLE[#Headers]))="Investigation",INDEX(TARIFF_TABLE[#All], MATCH($B105,TARIFF_TABLE[[#All],[Activity]],0),MATCH("Cost",TARIFF_TABLE[#Headers])),INDEX(Staff_Costs[#All],MATCH(D105,Staff_Costs[[#All],[Role]],0),MATCH("Per-minute cost",Staff_Costs[#Headers],0))*C105)</f>
        <v>#N/A</v>
      </c>
      <c r="K105" s="476" t="e">
        <f t="shared" si="9"/>
        <v>#N/A</v>
      </c>
      <c r="L105" s="476" t="e">
        <f>IF(INDEX(TARIFF_TABLE[#All], MATCH($B105,TARIFF_TABLE[[#All],[Activity]],0),MATCH("ActivityType",TARIFF_TABLE[#Headers]))="Investigation",INDEX(TARIFF_TABLE[#All], MATCH($B105,TARIFF_TABLE[[#All],[Activity]],0),MATCH("Cost",TARIFF_TABLE[#Headers])),INDEX(Staff_Costs[#All],MATCH(F105,Staff_Costs[[#All],[Role]],0),MATCH("Per-minute cost",Staff_Costs[#Headers],0))*D105)</f>
        <v>#N/A</v>
      </c>
      <c r="M105" s="476" t="e">
        <f t="shared" si="10"/>
        <v>#N/A</v>
      </c>
      <c r="N105" s="476" t="e">
        <f>IF(INDEX(TARIFF_TABLE[#All], MATCH($B105,TARIFF_TABLE[[#All],[Activity]],0),MATCH("ActivityType",TARIFF_TABLE[#Headers]))="Investigation",INDEX(TARIFF_TABLE[#All], MATCH($B105,TARIFF_TABLE[[#All],[Activity]],0),MATCH("Cost",TARIFF_TABLE[#Headers])),INDEX(Staff_Costs[#All],MATCH(G105,Staff_Costs[[#All],[Role]],0),MATCH("Per-minute cost",Staff_Costs[#Headers],0))*F105)</f>
        <v>#N/A</v>
      </c>
      <c r="O105" s="476" t="e">
        <f>IF(INDEX(TARIFF_TABLE[#All], MATCH($B105,TARIFF_TABLE[[#All],[Activity]],0),MATCH("ActivityType",TARIFF_TABLE[#Headers]))="Investigation",INDEX(TARIFF_TABLE[#All], MATCH($B105,TARIFF_TABLE[[#All],[Activity]],0),MATCH("Cost",TARIFF_TABLE[#Headers])),INDEX(Staff_Costs[#All],MATCH(H105,Staff_Costs[[#All],[Role]],0),MATCH("Per-minute cost",Staff_Costs[#Headers],0))*G105)</f>
        <v>#N/A</v>
      </c>
      <c r="P105" s="476" t="e">
        <f>INDEX('Tariff (hidden)'!$B$4:$B$133,MATCH(B105,'Tariff (hidden)'!$A$4:$A$133,0))</f>
        <v>#N/A</v>
      </c>
    </row>
    <row r="106" spans="1:16" x14ac:dyDescent="0.25">
      <c r="A106" s="147"/>
      <c r="B106" s="147"/>
      <c r="C106" s="148"/>
      <c r="D106" s="540"/>
      <c r="E106" s="538"/>
      <c r="F106" s="474"/>
      <c r="G106" s="474"/>
      <c r="H106" s="474"/>
      <c r="I106" s="474"/>
      <c r="J106" s="475" t="e">
        <f>IF(INDEX(TARIFF_TABLE[#All], MATCH($B106,TARIFF_TABLE[[#All],[Activity]],0),MATCH("ActivityType",TARIFF_TABLE[#Headers]))="Investigation",INDEX(TARIFF_TABLE[#All], MATCH($B106,TARIFF_TABLE[[#All],[Activity]],0),MATCH("Cost",TARIFF_TABLE[#Headers])),INDEX(Staff_Costs[#All],MATCH(D106,Staff_Costs[[#All],[Role]],0),MATCH("Per-minute cost",Staff_Costs[#Headers],0))*C106)</f>
        <v>#N/A</v>
      </c>
      <c r="K106" s="476" t="e">
        <f t="shared" si="9"/>
        <v>#N/A</v>
      </c>
      <c r="L106" s="476" t="e">
        <f>IF(INDEX(TARIFF_TABLE[#All], MATCH($B106,TARIFF_TABLE[[#All],[Activity]],0),MATCH("ActivityType",TARIFF_TABLE[#Headers]))="Investigation",INDEX(TARIFF_TABLE[#All], MATCH($B106,TARIFF_TABLE[[#All],[Activity]],0),MATCH("Cost",TARIFF_TABLE[#Headers])),INDEX(Staff_Costs[#All],MATCH(F106,Staff_Costs[[#All],[Role]],0),MATCH("Per-minute cost",Staff_Costs[#Headers],0))*D106)</f>
        <v>#N/A</v>
      </c>
      <c r="M106" s="476" t="e">
        <f t="shared" si="10"/>
        <v>#N/A</v>
      </c>
      <c r="N106" s="476" t="e">
        <f>IF(INDEX(TARIFF_TABLE[#All], MATCH($B106,TARIFF_TABLE[[#All],[Activity]],0),MATCH("ActivityType",TARIFF_TABLE[#Headers]))="Investigation",INDEX(TARIFF_TABLE[#All], MATCH($B106,TARIFF_TABLE[[#All],[Activity]],0),MATCH("Cost",TARIFF_TABLE[#Headers])),INDEX(Staff_Costs[#All],MATCH(G106,Staff_Costs[[#All],[Role]],0),MATCH("Per-minute cost",Staff_Costs[#Headers],0))*F106)</f>
        <v>#N/A</v>
      </c>
      <c r="O106" s="476" t="e">
        <f>IF(INDEX(TARIFF_TABLE[#All], MATCH($B106,TARIFF_TABLE[[#All],[Activity]],0),MATCH("ActivityType",TARIFF_TABLE[#Headers]))="Investigation",INDEX(TARIFF_TABLE[#All], MATCH($B106,TARIFF_TABLE[[#All],[Activity]],0),MATCH("Cost",TARIFF_TABLE[#Headers])),INDEX(Staff_Costs[#All],MATCH(H106,Staff_Costs[[#All],[Role]],0),MATCH("Per-minute cost",Staff_Costs[#Headers],0))*G106)</f>
        <v>#N/A</v>
      </c>
      <c r="P106" s="476" t="e">
        <f>INDEX('Tariff (hidden)'!$B$4:$B$133,MATCH(B106,'Tariff (hidden)'!$A$4:$A$133,0))</f>
        <v>#N/A</v>
      </c>
    </row>
    <row r="107" spans="1:16" x14ac:dyDescent="0.25">
      <c r="A107" s="147"/>
      <c r="B107" s="147"/>
      <c r="C107" s="148"/>
      <c r="D107" s="540"/>
      <c r="E107" s="538"/>
      <c r="F107" s="474"/>
      <c r="G107" s="474"/>
      <c r="H107" s="474"/>
      <c r="I107" s="474"/>
      <c r="J107" s="475" t="e">
        <f>IF(INDEX(TARIFF_TABLE[#All], MATCH($B107,TARIFF_TABLE[[#All],[Activity]],0),MATCH("ActivityType",TARIFF_TABLE[#Headers]))="Investigation",INDEX(TARIFF_TABLE[#All], MATCH($B107,TARIFF_TABLE[[#All],[Activity]],0),MATCH("Cost",TARIFF_TABLE[#Headers])),INDEX(Staff_Costs[#All],MATCH(D107,Staff_Costs[[#All],[Role]],0),MATCH("Per-minute cost",Staff_Costs[#Headers],0))*C107)</f>
        <v>#N/A</v>
      </c>
      <c r="K107" s="476" t="e">
        <f t="shared" si="9"/>
        <v>#N/A</v>
      </c>
      <c r="L107" s="476" t="e">
        <f>IF(INDEX(TARIFF_TABLE[#All], MATCH($B107,TARIFF_TABLE[[#All],[Activity]],0),MATCH("ActivityType",TARIFF_TABLE[#Headers]))="Investigation",INDEX(TARIFF_TABLE[#All], MATCH($B107,TARIFF_TABLE[[#All],[Activity]],0),MATCH("Cost",TARIFF_TABLE[#Headers])),INDEX(Staff_Costs[#All],MATCH(F107,Staff_Costs[[#All],[Role]],0),MATCH("Per-minute cost",Staff_Costs[#Headers],0))*D107)</f>
        <v>#N/A</v>
      </c>
      <c r="M107" s="476" t="e">
        <f t="shared" si="10"/>
        <v>#N/A</v>
      </c>
      <c r="N107" s="476" t="e">
        <f>IF(INDEX(TARIFF_TABLE[#All], MATCH($B107,TARIFF_TABLE[[#All],[Activity]],0),MATCH("ActivityType",TARIFF_TABLE[#Headers]))="Investigation",INDEX(TARIFF_TABLE[#All], MATCH($B107,TARIFF_TABLE[[#All],[Activity]],0),MATCH("Cost",TARIFF_TABLE[#Headers])),INDEX(Staff_Costs[#All],MATCH(G107,Staff_Costs[[#All],[Role]],0),MATCH("Per-minute cost",Staff_Costs[#Headers],0))*F107)</f>
        <v>#N/A</v>
      </c>
      <c r="O107" s="476" t="e">
        <f>IF(INDEX(TARIFF_TABLE[#All], MATCH($B107,TARIFF_TABLE[[#All],[Activity]],0),MATCH("ActivityType",TARIFF_TABLE[#Headers]))="Investigation",INDEX(TARIFF_TABLE[#All], MATCH($B107,TARIFF_TABLE[[#All],[Activity]],0),MATCH("Cost",TARIFF_TABLE[#Headers])),INDEX(Staff_Costs[#All],MATCH(H107,Staff_Costs[[#All],[Role]],0),MATCH("Per-minute cost",Staff_Costs[#Headers],0))*G107)</f>
        <v>#N/A</v>
      </c>
      <c r="P107" s="476" t="e">
        <f>INDEX('Tariff (hidden)'!$B$4:$B$133,MATCH(B107,'Tariff (hidden)'!$A$4:$A$133,0))</f>
        <v>#N/A</v>
      </c>
    </row>
    <row r="108" spans="1:16" x14ac:dyDescent="0.25">
      <c r="A108" s="147"/>
      <c r="B108" s="147"/>
      <c r="C108" s="148"/>
      <c r="D108" s="540"/>
      <c r="E108" s="538"/>
      <c r="F108" s="474"/>
      <c r="G108" s="474"/>
      <c r="H108" s="474"/>
      <c r="I108" s="474"/>
      <c r="J108" s="475" t="e">
        <f>IF(INDEX(TARIFF_TABLE[#All], MATCH($B108,TARIFF_TABLE[[#All],[Activity]],0),MATCH("ActivityType",TARIFF_TABLE[#Headers]))="Investigation",INDEX(TARIFF_TABLE[#All], MATCH($B108,TARIFF_TABLE[[#All],[Activity]],0),MATCH("Cost",TARIFF_TABLE[#Headers])),INDEX(Staff_Costs[#All],MATCH(D108,Staff_Costs[[#All],[Role]],0),MATCH("Per-minute cost",Staff_Costs[#Headers],0))*C108)</f>
        <v>#N/A</v>
      </c>
      <c r="K108" s="476" t="e">
        <f t="shared" si="9"/>
        <v>#N/A</v>
      </c>
      <c r="L108" s="476" t="e">
        <f>IF(INDEX(TARIFF_TABLE[#All], MATCH($B108,TARIFF_TABLE[[#All],[Activity]],0),MATCH("ActivityType",TARIFF_TABLE[#Headers]))="Investigation",INDEX(TARIFF_TABLE[#All], MATCH($B108,TARIFF_TABLE[[#All],[Activity]],0),MATCH("Cost",TARIFF_TABLE[#Headers])),INDEX(Staff_Costs[#All],MATCH(F108,Staff_Costs[[#All],[Role]],0),MATCH("Per-minute cost",Staff_Costs[#Headers],0))*D108)</f>
        <v>#N/A</v>
      </c>
      <c r="M108" s="476" t="e">
        <f t="shared" si="10"/>
        <v>#N/A</v>
      </c>
      <c r="N108" s="476" t="e">
        <f>IF(INDEX(TARIFF_TABLE[#All], MATCH($B108,TARIFF_TABLE[[#All],[Activity]],0),MATCH("ActivityType",TARIFF_TABLE[#Headers]))="Investigation",INDEX(TARIFF_TABLE[#All], MATCH($B108,TARIFF_TABLE[[#All],[Activity]],0),MATCH("Cost",TARIFF_TABLE[#Headers])),INDEX(Staff_Costs[#All],MATCH(G108,Staff_Costs[[#All],[Role]],0),MATCH("Per-minute cost",Staff_Costs[#Headers],0))*F108)</f>
        <v>#N/A</v>
      </c>
      <c r="O108" s="476" t="e">
        <f>IF(INDEX(TARIFF_TABLE[#All], MATCH($B108,TARIFF_TABLE[[#All],[Activity]],0),MATCH("ActivityType",TARIFF_TABLE[#Headers]))="Investigation",INDEX(TARIFF_TABLE[#All], MATCH($B108,TARIFF_TABLE[[#All],[Activity]],0),MATCH("Cost",TARIFF_TABLE[#Headers])),INDEX(Staff_Costs[#All],MATCH(H108,Staff_Costs[[#All],[Role]],0),MATCH("Per-minute cost",Staff_Costs[#Headers],0))*G108)</f>
        <v>#N/A</v>
      </c>
      <c r="P108" s="476" t="e">
        <f>INDEX('Tariff (hidden)'!$B$4:$B$133,MATCH(B108,'Tariff (hidden)'!$A$4:$A$133,0))</f>
        <v>#N/A</v>
      </c>
    </row>
    <row r="109" spans="1:16" x14ac:dyDescent="0.25">
      <c r="A109" s="147"/>
      <c r="B109" s="147"/>
      <c r="C109" s="148"/>
      <c r="D109" s="540"/>
      <c r="E109" s="538"/>
      <c r="F109" s="474"/>
      <c r="G109" s="474"/>
      <c r="H109" s="474"/>
      <c r="I109" s="474"/>
      <c r="J109" s="475" t="e">
        <f>IF(INDEX(TARIFF_TABLE[#All], MATCH($B109,TARIFF_TABLE[[#All],[Activity]],0),MATCH("ActivityType",TARIFF_TABLE[#Headers]))="Investigation",INDEX(TARIFF_TABLE[#All], MATCH($B109,TARIFF_TABLE[[#All],[Activity]],0),MATCH("Cost",TARIFF_TABLE[#Headers])),INDEX(Staff_Costs[#All],MATCH(D109,Staff_Costs[[#All],[Role]],0),MATCH("Per-minute cost",Staff_Costs[#Headers],0))*C109)</f>
        <v>#N/A</v>
      </c>
      <c r="K109" s="476" t="e">
        <f t="shared" si="9"/>
        <v>#N/A</v>
      </c>
      <c r="L109" s="476" t="e">
        <f>IF(INDEX(TARIFF_TABLE[#All], MATCH($B109,TARIFF_TABLE[[#All],[Activity]],0),MATCH("ActivityType",TARIFF_TABLE[#Headers]))="Investigation",INDEX(TARIFF_TABLE[#All], MATCH($B109,TARIFF_TABLE[[#All],[Activity]],0),MATCH("Cost",TARIFF_TABLE[#Headers])),INDEX(Staff_Costs[#All],MATCH(F109,Staff_Costs[[#All],[Role]],0),MATCH("Per-minute cost",Staff_Costs[#Headers],0))*D109)</f>
        <v>#N/A</v>
      </c>
      <c r="M109" s="476" t="e">
        <f t="shared" si="10"/>
        <v>#N/A</v>
      </c>
      <c r="N109" s="476" t="e">
        <f>IF(INDEX(TARIFF_TABLE[#All], MATCH($B109,TARIFF_TABLE[[#All],[Activity]],0),MATCH("ActivityType",TARIFF_TABLE[#Headers]))="Investigation",INDEX(TARIFF_TABLE[#All], MATCH($B109,TARIFF_TABLE[[#All],[Activity]],0),MATCH("Cost",TARIFF_TABLE[#Headers])),INDEX(Staff_Costs[#All],MATCH(G109,Staff_Costs[[#All],[Role]],0),MATCH("Per-minute cost",Staff_Costs[#Headers],0))*F109)</f>
        <v>#N/A</v>
      </c>
      <c r="O109" s="476" t="e">
        <f>IF(INDEX(TARIFF_TABLE[#All], MATCH($B109,TARIFF_TABLE[[#All],[Activity]],0),MATCH("ActivityType",TARIFF_TABLE[#Headers]))="Investigation",INDEX(TARIFF_TABLE[#All], MATCH($B109,TARIFF_TABLE[[#All],[Activity]],0),MATCH("Cost",TARIFF_TABLE[#Headers])),INDEX(Staff_Costs[#All],MATCH(H109,Staff_Costs[[#All],[Role]],0),MATCH("Per-minute cost",Staff_Costs[#Headers],0))*G109)</f>
        <v>#N/A</v>
      </c>
      <c r="P109" s="476" t="e">
        <f>INDEX('Tariff (hidden)'!$B$4:$B$133,MATCH(B109,'Tariff (hidden)'!$A$4:$A$133,0))</f>
        <v>#N/A</v>
      </c>
    </row>
    <row r="110" spans="1:16" x14ac:dyDescent="0.25">
      <c r="A110" s="147"/>
      <c r="B110" s="147"/>
      <c r="C110" s="148"/>
      <c r="D110" s="540"/>
      <c r="E110" s="538"/>
      <c r="F110" s="474"/>
      <c r="G110" s="474"/>
      <c r="H110" s="474"/>
      <c r="I110" s="474"/>
      <c r="J110" s="478" t="e">
        <f>IF(INDEX(TARIFF_TABLE[#All], MATCH($B110,TARIFF_TABLE[[#All],[Activity]],0),MATCH("ActivityType",TARIFF_TABLE[#Headers]))="Investigation",INDEX(TARIFF_TABLE[#All], MATCH($B110,TARIFF_TABLE[[#All],[Activity]],0),MATCH("Cost",TARIFF_TABLE[#Headers])),INDEX(Staff_Costs[#All],MATCH(D110,Staff_Costs[[#All],[Role]],0),MATCH("Per-minute cost",Staff_Costs[#Headers],0))*C110)</f>
        <v>#N/A</v>
      </c>
      <c r="K110" s="477" t="e">
        <f t="shared" si="9"/>
        <v>#N/A</v>
      </c>
      <c r="L110" s="477" t="e">
        <f>IF(INDEX(TARIFF_TABLE[#All], MATCH($B110,TARIFF_TABLE[[#All],[Activity]],0),MATCH("ActivityType",TARIFF_TABLE[#Headers]))="Investigation",INDEX(TARIFF_TABLE[#All], MATCH($B110,TARIFF_TABLE[[#All],[Activity]],0),MATCH("Cost",TARIFF_TABLE[#Headers])),INDEX(Staff_Costs[#All],MATCH(F110,Staff_Costs[[#All],[Role]],0),MATCH("Per-minute cost",Staff_Costs[#Headers],0))*D110)</f>
        <v>#N/A</v>
      </c>
      <c r="M110" s="477" t="e">
        <f t="shared" si="10"/>
        <v>#N/A</v>
      </c>
      <c r="N110" s="477" t="e">
        <f>IF(INDEX(TARIFF_TABLE[#All], MATCH($B110,TARIFF_TABLE[[#All],[Activity]],0),MATCH("ActivityType",TARIFF_TABLE[#Headers]))="Investigation",INDEX(TARIFF_TABLE[#All], MATCH($B110,TARIFF_TABLE[[#All],[Activity]],0),MATCH("Cost",TARIFF_TABLE[#Headers])),INDEX(Staff_Costs[#All],MATCH(G110,Staff_Costs[[#All],[Role]],0),MATCH("Per-minute cost",Staff_Costs[#Headers],0))*F110)</f>
        <v>#N/A</v>
      </c>
      <c r="O110" s="477" t="e">
        <f>IF(INDEX(TARIFF_TABLE[#All], MATCH($B110,TARIFF_TABLE[[#All],[Activity]],0),MATCH("ActivityType",TARIFF_TABLE[#Headers]))="Investigation",INDEX(TARIFF_TABLE[#All], MATCH($B110,TARIFF_TABLE[[#All],[Activity]],0),MATCH("Cost",TARIFF_TABLE[#Headers])),INDEX(Staff_Costs[#All],MATCH(H110,Staff_Costs[[#All],[Role]],0),MATCH("Per-minute cost",Staff_Costs[#Headers],0))*G110)</f>
        <v>#N/A</v>
      </c>
      <c r="P110" s="477" t="e">
        <f>INDEX('Tariff (hidden)'!$B$4:$B$133,MATCH(B110,'Tariff (hidden)'!$A$4:$A$133,0))</f>
        <v>#N/A</v>
      </c>
    </row>
  </sheetData>
  <sheetProtection algorithmName="SHA-512" hashValue="5z3WphAEpTakQ+vs5H7c1u5ev2QCu7ophcBNNhAbTI4+fJ5dRF4zl1DUNfAbWHn2ytf+9fon0ILpyiw7LwaB/A==" saltValue="FjPU+qzlt4+PmAgHYZuVow==" spinCount="100000" sheet="1" objects="1" scenarios="1"/>
  <mergeCells count="6">
    <mergeCell ref="G7:H7"/>
    <mergeCell ref="G2:I2"/>
    <mergeCell ref="G3:H3"/>
    <mergeCell ref="G4:H4"/>
    <mergeCell ref="G5:H5"/>
    <mergeCell ref="G6:H6"/>
  </mergeCells>
  <conditionalFormatting sqref="C12 C14:C58">
    <cfRule type="expression" dxfId="763" priority="3">
      <formula>IF($P12="investigation",TRUE,FALSE)</formula>
    </cfRule>
  </conditionalFormatting>
  <conditionalFormatting sqref="C13">
    <cfRule type="expression" dxfId="762" priority="2">
      <formula>IF($P13="investigation",TRUE,FALSE)</formula>
    </cfRule>
  </conditionalFormatting>
  <conditionalFormatting sqref="C59:C110">
    <cfRule type="expression" dxfId="761" priority="1">
      <formula>IF($P59="investigation",TRUE,FALSE)</formula>
    </cfRule>
  </conditionalFormatting>
  <dataValidations xWindow="1422" yWindow="542" count="6">
    <dataValidation type="list" allowBlank="1" showInputMessage="1" showErrorMessage="1" prompt="Select a cost category from the drop-down list._x000a__x000a_Q3 in the Study Information tab MUST be completed for this list to appear. _x000a_" sqref="F12:I110">
      <formula1>INDIRECT(SUBSTITUTE($W$3," ","_"))</formula1>
    </dataValidation>
    <dataValidation type="list" allowBlank="1" showInputMessage="1" showErrorMessage="1" errorTitle="Drop Down" error="Please select item from drop down list. " promptTitle="Selecting Area of Activity" prompt="Use the drop-down list to select the correct Area of Activity. _x000a_" sqref="A12:A110">
      <formula1>Area_of_Activity_study_in_general</formula1>
    </dataValidation>
    <dataValidation type="whole" allowBlank="1" showInputMessage="1" showErrorMessage="1" errorTitle="Duration in minutes" error="This field only accepts numeric input." sqref="C12: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2:B110">
      <formula1>INDIRECT(SUBSTITUTE($A12," ","_"))</formula1>
    </dataValidation>
    <dataValidation allowBlank="1" showInputMessage="1" showErrorMessage="1" errorTitle="Please use drop down provided" prompt="Please provide the specific staff type, job title, etc. of the person/s who will undertake this activity, if known" sqref="E12:E110"/>
    <dataValidation type="list" allowBlank="1" showInputMessage="1" showErrorMessage="1" promptTitle="Select role that best fits" prompt="e.g. select “medical staff” for activity undertaken by a medical doctor regardless of grade.  If necessary, provide detail in column E. " sqref="D12:D110">
      <formula1>UNDERTAKEN_BY</formula1>
    </dataValidation>
  </dataValidations>
  <pageMargins left="0.51181102362204722" right="0.51181102362204722" top="0.74803149606299213" bottom="0.74803149606299213" header="0.31496062992125984" footer="0.31496062992125984"/>
  <pageSetup paperSize="9" scale="24" fitToWidth="0" orientation="landscape" r:id="rId1"/>
  <ignoredErrors>
    <ignoredError sqref="L16:L59 N16:O59 N13:O15 L13:L15" calculatedColumn="1"/>
    <ignoredError sqref="K12" listDataValidation="1"/>
    <ignoredError sqref="N12:O12 L12" listDataValidation="1"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pageSetUpPr fitToPage="1"/>
  </sheetPr>
  <dimension ref="A1:BA110"/>
  <sheetViews>
    <sheetView showGridLines="0" topLeftCell="B1" zoomScaleNormal="100" zoomScaleSheetLayoutView="20" workbookViewId="0">
      <selection activeCell="G12" sqref="G12"/>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6" width="25.7109375" style="203" customWidth="1"/>
    <col min="7"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6.5703125" customWidth="1"/>
    <col min="47" max="48" width="21.140625" customWidth="1"/>
    <col min="49" max="49" width="0" hidden="1" customWidth="1"/>
  </cols>
  <sheetData>
    <row r="1" spans="1:53" ht="18" customHeight="1" x14ac:dyDescent="0.25">
      <c r="A1" s="6"/>
      <c r="B1" s="6"/>
      <c r="C1" s="6"/>
      <c r="D1" s="7"/>
      <c r="E1" s="7"/>
      <c r="F1" s="201"/>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89.25" customHeight="1" x14ac:dyDescent="0.25">
      <c r="A2" s="6"/>
      <c r="B2" s="6"/>
      <c r="C2" s="6"/>
      <c r="D2" s="7"/>
      <c r="E2" s="7"/>
      <c r="F2" s="187"/>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84" customHeight="1" x14ac:dyDescent="0.25">
      <c r="A3" s="6"/>
      <c r="B3" s="6"/>
      <c r="C3" s="6"/>
      <c r="D3" s="7"/>
      <c r="E3" s="7"/>
      <c r="F3" s="187"/>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174</v>
      </c>
      <c r="B4" s="76">
        <f>IRAS_REF</f>
        <v>281958</v>
      </c>
      <c r="C4" s="84"/>
      <c r="D4" s="122"/>
      <c r="E4" s="122"/>
      <c r="F4" s="69"/>
      <c r="G4" s="69"/>
      <c r="H4" s="69"/>
      <c r="I4" s="70"/>
      <c r="J4" s="122"/>
      <c r="K4" s="597"/>
      <c r="L4" s="598"/>
      <c r="M4" s="123"/>
      <c r="N4" s="595"/>
      <c r="O4" s="596"/>
      <c r="P4" s="596"/>
      <c r="Q4" s="596"/>
      <c r="R4" s="596"/>
      <c r="S4" s="122"/>
      <c r="T4" s="122"/>
      <c r="U4" s="122"/>
      <c r="V4" s="122"/>
      <c r="W4" s="122"/>
      <c r="X4" s="122"/>
      <c r="Y4" s="122"/>
      <c r="Z4" s="122"/>
      <c r="AA4" s="122"/>
      <c r="AB4" s="122"/>
      <c r="AC4" s="122"/>
      <c r="AD4" s="122"/>
      <c r="AE4" s="122"/>
      <c r="AF4" s="122"/>
      <c r="AG4" s="122"/>
      <c r="AH4" s="78"/>
      <c r="AI4" s="78"/>
      <c r="AJ4" s="80"/>
      <c r="AK4" s="80"/>
      <c r="AL4" s="80"/>
      <c r="AM4" s="80"/>
      <c r="AN4" s="80"/>
      <c r="AO4" s="80"/>
      <c r="AP4" s="6"/>
      <c r="AQ4" s="6"/>
      <c r="AR4" s="6"/>
      <c r="AS4" s="6"/>
      <c r="AT4" s="6"/>
      <c r="AU4" s="6"/>
      <c r="AV4" s="6"/>
      <c r="AW4" s="6"/>
      <c r="AX4" s="6"/>
      <c r="AY4" s="6"/>
      <c r="AZ4" s="6"/>
      <c r="BA4" s="6"/>
    </row>
    <row r="5" spans="1:53" ht="28.5" x14ac:dyDescent="0.25">
      <c r="A5" s="62" t="s">
        <v>688</v>
      </c>
      <c r="B5" s="465" t="s">
        <v>695</v>
      </c>
      <c r="C5" s="84"/>
      <c r="D5" s="122"/>
      <c r="E5" s="122"/>
      <c r="F5" s="69"/>
      <c r="G5" s="69"/>
      <c r="H5" s="69"/>
      <c r="I5" s="69"/>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78"/>
      <c r="AI5" s="78"/>
      <c r="AJ5" s="80"/>
      <c r="AK5" s="80"/>
      <c r="AL5" s="80"/>
      <c r="AM5" s="80"/>
      <c r="AN5" s="80"/>
      <c r="AO5" s="80"/>
      <c r="AP5" s="6"/>
      <c r="AQ5" s="6"/>
      <c r="AR5" s="6"/>
      <c r="AS5" s="6"/>
      <c r="AT5" s="6"/>
      <c r="AU5" s="6"/>
      <c r="AV5" s="6"/>
      <c r="AW5" s="6"/>
      <c r="AX5" s="6"/>
      <c r="AY5" s="6"/>
      <c r="AZ5" s="6"/>
      <c r="BA5" s="6"/>
    </row>
    <row r="6" spans="1:53" x14ac:dyDescent="0.25">
      <c r="A6" s="62" t="s">
        <v>351</v>
      </c>
      <c r="B6" s="465">
        <v>1500</v>
      </c>
      <c r="C6" s="86"/>
      <c r="D6" s="87"/>
      <c r="E6" s="87"/>
      <c r="F6" s="125" t="str">
        <f>IF(AW3=0,"Please complete Q3 in the 'Study Information' tab before completing column E onwards","")</f>
        <v/>
      </c>
      <c r="G6" s="87"/>
      <c r="H6" s="87"/>
      <c r="I6" s="17"/>
      <c r="J6" s="17"/>
      <c r="K6" s="17"/>
      <c r="L6" s="17"/>
      <c r="M6" s="17"/>
      <c r="N6" s="17"/>
      <c r="O6" s="17"/>
      <c r="P6" s="17"/>
      <c r="Q6" s="17"/>
      <c r="R6" s="17"/>
      <c r="S6" s="17"/>
      <c r="T6" s="17"/>
      <c r="U6" s="17"/>
      <c r="V6" s="17"/>
      <c r="W6" s="17"/>
      <c r="X6" s="17"/>
      <c r="Y6" s="17"/>
      <c r="Z6" s="17"/>
      <c r="AA6" s="17"/>
      <c r="AB6" s="17"/>
      <c r="AC6" s="17"/>
      <c r="AD6" s="17"/>
      <c r="AE6" s="17"/>
      <c r="AF6" s="17"/>
      <c r="AG6" s="17"/>
      <c r="AH6" s="78"/>
      <c r="AI6" s="78"/>
      <c r="AJ6" s="80"/>
      <c r="AK6" s="161"/>
      <c r="AL6" s="161"/>
      <c r="AM6" s="161"/>
      <c r="AN6" s="161"/>
      <c r="AO6" s="161"/>
      <c r="AP6" s="6"/>
      <c r="AQ6" s="6"/>
      <c r="AR6" s="6"/>
      <c r="AS6" s="6"/>
      <c r="AT6" s="6"/>
      <c r="AU6" s="6"/>
      <c r="AV6" s="6"/>
      <c r="AW6" s="6"/>
      <c r="AX6" s="6"/>
      <c r="AY6" s="6"/>
      <c r="AZ6" s="6"/>
      <c r="BA6" s="6"/>
    </row>
    <row r="7" spans="1:53" ht="18" customHeight="1" x14ac:dyDescent="0.25">
      <c r="A7" s="80"/>
      <c r="B7" s="80"/>
      <c r="C7" s="80"/>
      <c r="D7" s="88"/>
      <c r="E7" s="88"/>
      <c r="F7" s="202"/>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6"/>
      <c r="AQ7" s="6"/>
      <c r="AR7" s="6"/>
      <c r="AS7" s="6"/>
      <c r="AT7" s="6"/>
      <c r="AU7" s="6"/>
      <c r="AV7" s="6"/>
      <c r="AW7" s="6"/>
      <c r="AX7" s="6"/>
      <c r="AY7" s="6"/>
      <c r="AZ7" s="6"/>
      <c r="BA7" s="6"/>
    </row>
    <row r="8" spans="1:53" ht="71.25" x14ac:dyDescent="0.25">
      <c r="A8" s="95" t="s">
        <v>513</v>
      </c>
      <c r="B8" s="96" t="s">
        <v>514</v>
      </c>
      <c r="C8" s="96"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18"/>
      <c r="AQ8" s="18"/>
      <c r="AR8" s="18"/>
      <c r="AS8" s="18"/>
      <c r="AT8" s="18"/>
      <c r="AU8" s="18"/>
      <c r="AV8" s="18"/>
      <c r="AW8" s="18"/>
      <c r="AX8" s="18"/>
      <c r="AY8" s="18"/>
      <c r="AZ8" s="18"/>
      <c r="BA8" s="18"/>
    </row>
    <row r="9" spans="1:53" ht="30" customHeight="1"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07"/>
      <c r="AP9" s="19"/>
      <c r="AQ9" s="19"/>
      <c r="AR9" s="19"/>
      <c r="AS9" s="19"/>
      <c r="AT9" s="19"/>
      <c r="AU9" s="19"/>
      <c r="AV9" s="19"/>
      <c r="AW9" s="19"/>
      <c r="AX9" s="19"/>
      <c r="AY9" s="19"/>
      <c r="AZ9" s="19"/>
      <c r="BA9" s="19"/>
    </row>
    <row r="10" spans="1:53" ht="29.25" x14ac:dyDescent="0.25">
      <c r="A10" s="110" t="s">
        <v>235</v>
      </c>
      <c r="B10" s="111" t="s">
        <v>698</v>
      </c>
      <c r="C10" s="112">
        <v>10</v>
      </c>
      <c r="D10" s="111" t="s">
        <v>670</v>
      </c>
      <c r="E10" s="545"/>
      <c r="F10" s="113" t="s">
        <v>149</v>
      </c>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f>IF(INDEX(TARIFF_TABLE[#All], MATCH($B10,TARIFF_TABLE[[#All],[Activity]],0),MATCH("ActivityType",TARIFF_TABLE[#Headers]))="Investigation",INDEX(TARIFF_TABLE[#All], MATCH($B10,TARIFF_TABLE[[#All],[Activity]],0),MATCH("Cost",TARIFF_TABLE[#Headers],0)),INDEX(Staff_Costs[#All],MATCH('Per-Participant Activities Arm1'!D10,Staff_Costs[[#All],[Role]],0),MATCH("Per-minute cost",Staff_Costs[#Headers],0))*'Per-Participant Activities Arm1'!C10)</f>
        <v>14.7</v>
      </c>
      <c r="AJ10" s="117">
        <f t="shared" ref="AJ10:AN19" si="0">COUNTIF($F10:$AH10, AJ$8)*$AI10</f>
        <v>0</v>
      </c>
      <c r="AK10" s="117">
        <f t="shared" si="0"/>
        <v>0</v>
      </c>
      <c r="AL10" s="117">
        <f t="shared" si="0"/>
        <v>0</v>
      </c>
      <c r="AM10" s="117">
        <f t="shared" si="0"/>
        <v>14.7</v>
      </c>
      <c r="AN10" s="117">
        <f t="shared" si="0"/>
        <v>0</v>
      </c>
      <c r="AO10" s="220" t="str">
        <f t="shared" ref="AO10:AO41" si="1">INDEX(Tariff_Activity_Type,MATCH(B10,Tariff_Activity,0))</f>
        <v>Procedure</v>
      </c>
      <c r="AP10" s="18"/>
      <c r="AQ10" s="18"/>
      <c r="AR10" s="18"/>
      <c r="AS10" s="18"/>
      <c r="AT10" s="18"/>
      <c r="AU10" s="18"/>
      <c r="AV10" s="18"/>
      <c r="AW10" s="18"/>
      <c r="AX10" s="18"/>
      <c r="AY10" s="18"/>
      <c r="AZ10" s="18"/>
      <c r="BA10" s="18"/>
    </row>
    <row r="11" spans="1:53" x14ac:dyDescent="0.25">
      <c r="A11" s="110" t="s">
        <v>228</v>
      </c>
      <c r="B11" s="111" t="s">
        <v>43</v>
      </c>
      <c r="C11" s="112">
        <v>1</v>
      </c>
      <c r="D11" s="111" t="s">
        <v>669</v>
      </c>
      <c r="E11" s="545"/>
      <c r="F11" s="113" t="s">
        <v>346</v>
      </c>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f>IF(INDEX(TARIFF_TABLE[#All], MATCH($B11,TARIFF_TABLE[[#All],[Activity]],0),MATCH("ActivityType",TARIFF_TABLE[#Headers]))="Investigation",INDEX(TARIFF_TABLE[#All], MATCH($B11,TARIFF_TABLE[[#All],[Activity]],0),MATCH("Cost",TARIFF_TABLE[#Headers],0)),INDEX(Staff_Costs[#All],MATCH('Per-Participant Activities Arm1'!D11,Staff_Costs[[#All],[Role]],0),MATCH("Per-minute cost",Staff_Costs[#Headers],0))*'Per-Participant Activities Arm1'!C11)</f>
        <v>0.35</v>
      </c>
      <c r="AJ11" s="117">
        <f t="shared" si="0"/>
        <v>0</v>
      </c>
      <c r="AK11" s="117">
        <f t="shared" si="0"/>
        <v>0</v>
      </c>
      <c r="AL11" s="117">
        <f t="shared" si="0"/>
        <v>0.35</v>
      </c>
      <c r="AM11" s="117">
        <f t="shared" si="0"/>
        <v>0</v>
      </c>
      <c r="AN11" s="117">
        <f t="shared" si="0"/>
        <v>0</v>
      </c>
      <c r="AO11" s="107" t="str">
        <f t="shared" si="1"/>
        <v>Procedure</v>
      </c>
      <c r="AP11" s="18"/>
      <c r="AQ11" s="18"/>
      <c r="AR11" s="18"/>
      <c r="AS11" s="18"/>
      <c r="AT11" s="18"/>
      <c r="AU11" s="18"/>
      <c r="AV11" s="18"/>
      <c r="AW11" s="18"/>
      <c r="AX11" s="18"/>
      <c r="AY11" s="18"/>
      <c r="AZ11" s="18"/>
      <c r="BA11" s="18"/>
    </row>
    <row r="12" spans="1:53" x14ac:dyDescent="0.25">
      <c r="A12" s="110"/>
      <c r="B12" s="111"/>
      <c r="C12" s="112"/>
      <c r="D12" s="111"/>
      <c r="E12" s="54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Arm1'!D12,Staff_Costs[[#All],[Role]],0),MATCH("Per-minute cost",Staff_Costs[#Headers],0))*'Per-Participant Activities Arm1'!C12)</f>
        <v>#N/A</v>
      </c>
      <c r="AJ12" s="117" t="e">
        <f t="shared" si="0"/>
        <v>#N/A</v>
      </c>
      <c r="AK12" s="117" t="e">
        <f t="shared" si="0"/>
        <v>#N/A</v>
      </c>
      <c r="AL12" s="117" t="e">
        <f t="shared" si="0"/>
        <v>#N/A</v>
      </c>
      <c r="AM12" s="117" t="e">
        <f t="shared" si="0"/>
        <v>#N/A</v>
      </c>
      <c r="AN12" s="117" t="e">
        <f t="shared" si="0"/>
        <v>#N/A</v>
      </c>
      <c r="AO12" s="107" t="e">
        <f t="shared" si="1"/>
        <v>#N/A</v>
      </c>
      <c r="AP12" s="18"/>
      <c r="AQ12" s="18"/>
      <c r="AR12" s="18"/>
      <c r="AS12" s="18"/>
      <c r="AT12" s="18"/>
      <c r="AU12" s="18"/>
      <c r="AV12" s="18"/>
      <c r="AW12" s="18"/>
      <c r="AX12" s="18"/>
      <c r="AY12" s="18"/>
      <c r="AZ12" s="18"/>
      <c r="BA12" s="18"/>
    </row>
    <row r="13" spans="1:53" x14ac:dyDescent="0.25">
      <c r="A13" s="110"/>
      <c r="B13" s="118"/>
      <c r="C13" s="112"/>
      <c r="D13" s="118"/>
      <c r="E13" s="54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Arm1'!D13,Staff_Costs[[#All],[Role]],0),MATCH("Per-minute cost",Staff_Costs[#Headers],0))*'Per-Participant Activities Arm1'!C13)</f>
        <v>#N/A</v>
      </c>
      <c r="AJ13" s="117" t="e">
        <f t="shared" si="0"/>
        <v>#N/A</v>
      </c>
      <c r="AK13" s="117" t="e">
        <f t="shared" si="0"/>
        <v>#N/A</v>
      </c>
      <c r="AL13" s="117" t="e">
        <f t="shared" si="0"/>
        <v>#N/A</v>
      </c>
      <c r="AM13" s="117" t="e">
        <f t="shared" si="0"/>
        <v>#N/A</v>
      </c>
      <c r="AN13" s="117" t="e">
        <f t="shared" si="0"/>
        <v>#N/A</v>
      </c>
      <c r="AO13" s="107" t="e">
        <f t="shared" si="1"/>
        <v>#N/A</v>
      </c>
      <c r="AP13" s="18"/>
      <c r="AQ13" s="18"/>
      <c r="AR13" s="18"/>
      <c r="AS13" s="18"/>
      <c r="AT13" s="18"/>
      <c r="AU13" s="18"/>
      <c r="AV13" s="18"/>
      <c r="AW13" s="18"/>
      <c r="AX13" s="18"/>
      <c r="AY13" s="18"/>
      <c r="AZ13" s="18"/>
      <c r="BA13" s="18"/>
    </row>
    <row r="14" spans="1:53" x14ac:dyDescent="0.25">
      <c r="A14" s="110"/>
      <c r="B14" s="118"/>
      <c r="C14" s="112"/>
      <c r="D14" s="118"/>
      <c r="E14" s="54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Arm1'!D14,Staff_Costs[[#All],[Role]],0),MATCH("Per-minute cost",Staff_Costs[#Headers],0))*'Per-Participant Activities Arm1'!C14)</f>
        <v>#N/A</v>
      </c>
      <c r="AJ14" s="117" t="e">
        <f t="shared" si="0"/>
        <v>#N/A</v>
      </c>
      <c r="AK14" s="117" t="e">
        <f t="shared" si="0"/>
        <v>#N/A</v>
      </c>
      <c r="AL14" s="117" t="e">
        <f t="shared" si="0"/>
        <v>#N/A</v>
      </c>
      <c r="AM14" s="117" t="e">
        <f t="shared" si="0"/>
        <v>#N/A</v>
      </c>
      <c r="AN14" s="117" t="e">
        <f t="shared" si="0"/>
        <v>#N/A</v>
      </c>
      <c r="AO14" s="107" t="e">
        <f t="shared" si="1"/>
        <v>#N/A</v>
      </c>
      <c r="AP14" s="18"/>
      <c r="AQ14" s="18"/>
      <c r="AR14" s="18"/>
      <c r="AS14" s="18"/>
      <c r="AT14" s="18"/>
      <c r="AU14" s="18"/>
      <c r="AV14" s="18"/>
      <c r="AW14" s="18"/>
      <c r="AX14" s="18"/>
      <c r="AY14" s="18"/>
      <c r="AZ14" s="18"/>
      <c r="BA14" s="18"/>
    </row>
    <row r="15" spans="1:53" x14ac:dyDescent="0.25">
      <c r="A15" s="110"/>
      <c r="B15" s="118"/>
      <c r="C15" s="112"/>
      <c r="D15" s="118"/>
      <c r="E15" s="54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Arm1'!D15,Staff_Costs[[#All],[Role]],0),MATCH("Per-minute cost",Staff_Costs[#Headers],0))*'Per-Participant Activities Arm1'!C15)</f>
        <v>#N/A</v>
      </c>
      <c r="AJ15" s="117" t="e">
        <f t="shared" si="0"/>
        <v>#N/A</v>
      </c>
      <c r="AK15" s="117" t="e">
        <f t="shared" si="0"/>
        <v>#N/A</v>
      </c>
      <c r="AL15" s="117" t="e">
        <f t="shared" si="0"/>
        <v>#N/A</v>
      </c>
      <c r="AM15" s="117" t="e">
        <f t="shared" si="0"/>
        <v>#N/A</v>
      </c>
      <c r="AN15" s="117" t="e">
        <f t="shared" si="0"/>
        <v>#N/A</v>
      </c>
      <c r="AO15" s="107" t="e">
        <f t="shared" si="1"/>
        <v>#N/A</v>
      </c>
      <c r="AP15" s="18"/>
      <c r="AQ15" s="18"/>
      <c r="AR15" s="18"/>
      <c r="AS15" s="18"/>
      <c r="AT15" s="18"/>
      <c r="AU15" s="18"/>
      <c r="AV15" s="18"/>
      <c r="AW15" s="18"/>
      <c r="AX15" s="18"/>
      <c r="AY15" s="18"/>
      <c r="AZ15" s="18"/>
      <c r="BA15" s="18"/>
    </row>
    <row r="16" spans="1:53" x14ac:dyDescent="0.25">
      <c r="A16" s="110"/>
      <c r="B16" s="118"/>
      <c r="C16" s="112"/>
      <c r="D16" s="118"/>
      <c r="E16" s="54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Arm1'!D16,Staff_Costs[[#All],[Role]],0),MATCH("Per-minute cost",Staff_Costs[#Headers],0))*'Per-Participant Activities Arm1'!C16)</f>
        <v>#N/A</v>
      </c>
      <c r="AJ16" s="117" t="e">
        <f t="shared" si="0"/>
        <v>#N/A</v>
      </c>
      <c r="AK16" s="117" t="e">
        <f t="shared" si="0"/>
        <v>#N/A</v>
      </c>
      <c r="AL16" s="117" t="e">
        <f t="shared" si="0"/>
        <v>#N/A</v>
      </c>
      <c r="AM16" s="117" t="e">
        <f t="shared" si="0"/>
        <v>#N/A</v>
      </c>
      <c r="AN16" s="117" t="e">
        <f t="shared" si="0"/>
        <v>#N/A</v>
      </c>
      <c r="AO16" s="107" t="e">
        <f t="shared" si="1"/>
        <v>#N/A</v>
      </c>
      <c r="AP16" s="18"/>
      <c r="AQ16" s="18"/>
      <c r="AR16" s="18"/>
      <c r="AS16" s="18"/>
      <c r="AT16" s="18"/>
      <c r="AU16" s="18"/>
      <c r="AV16" s="18"/>
      <c r="AW16" s="18"/>
      <c r="AX16" s="18"/>
      <c r="AY16" s="18"/>
      <c r="AZ16" s="18"/>
      <c r="BA16" s="18"/>
    </row>
    <row r="17" spans="1:53" x14ac:dyDescent="0.25">
      <c r="A17" s="110"/>
      <c r="B17" s="118"/>
      <c r="C17" s="112"/>
      <c r="D17" s="118"/>
      <c r="E17" s="54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Arm1'!D17,Staff_Costs[[#All],[Role]],0),MATCH("Per-minute cost",Staff_Costs[#Headers],0))*'Per-Participant Activities Arm1'!C17)</f>
        <v>#N/A</v>
      </c>
      <c r="AJ17" s="117" t="e">
        <f t="shared" si="0"/>
        <v>#N/A</v>
      </c>
      <c r="AK17" s="117" t="e">
        <f t="shared" si="0"/>
        <v>#N/A</v>
      </c>
      <c r="AL17" s="117" t="e">
        <f t="shared" si="0"/>
        <v>#N/A</v>
      </c>
      <c r="AM17" s="117" t="e">
        <f t="shared" si="0"/>
        <v>#N/A</v>
      </c>
      <c r="AN17" s="117" t="e">
        <f t="shared" si="0"/>
        <v>#N/A</v>
      </c>
      <c r="AO17" s="107" t="e">
        <f t="shared" si="1"/>
        <v>#N/A</v>
      </c>
      <c r="AP17" s="18"/>
      <c r="AQ17" s="18"/>
      <c r="AR17" s="18"/>
      <c r="AS17" s="18"/>
      <c r="AT17" s="18"/>
      <c r="AU17" s="18"/>
      <c r="AV17" s="18"/>
      <c r="AW17" s="18"/>
      <c r="AX17" s="18"/>
      <c r="AY17" s="18"/>
      <c r="AZ17" s="18"/>
      <c r="BA17" s="18"/>
    </row>
    <row r="18" spans="1:53" x14ac:dyDescent="0.25">
      <c r="A18" s="110"/>
      <c r="B18" s="118"/>
      <c r="C18" s="112"/>
      <c r="D18" s="118"/>
      <c r="E18" s="54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Arm1'!D18,Staff_Costs[[#All],[Role]],0),MATCH("Per-minute cost",Staff_Costs[#Headers],0))*'Per-Participant Activities Arm1'!C18)</f>
        <v>#N/A</v>
      </c>
      <c r="AJ18" s="117" t="e">
        <f t="shared" si="0"/>
        <v>#N/A</v>
      </c>
      <c r="AK18" s="117" t="e">
        <f t="shared" si="0"/>
        <v>#N/A</v>
      </c>
      <c r="AL18" s="117" t="e">
        <f t="shared" si="0"/>
        <v>#N/A</v>
      </c>
      <c r="AM18" s="117" t="e">
        <f t="shared" si="0"/>
        <v>#N/A</v>
      </c>
      <c r="AN18" s="117" t="e">
        <f t="shared" si="0"/>
        <v>#N/A</v>
      </c>
      <c r="AO18" s="107" t="e">
        <f t="shared" si="1"/>
        <v>#N/A</v>
      </c>
      <c r="AP18" s="18"/>
      <c r="AQ18" s="18"/>
      <c r="AR18" s="18"/>
      <c r="AS18" s="18"/>
      <c r="AT18" s="18"/>
      <c r="AU18" s="18"/>
      <c r="AV18" s="18"/>
      <c r="AW18" s="18"/>
      <c r="AX18" s="18"/>
      <c r="AY18" s="18"/>
      <c r="AZ18" s="18"/>
      <c r="BA18" s="18"/>
    </row>
    <row r="19" spans="1:53" x14ac:dyDescent="0.25">
      <c r="A19" s="110"/>
      <c r="B19" s="111"/>
      <c r="C19" s="112"/>
      <c r="D19" s="111"/>
      <c r="E19" s="54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Arm1'!D19,Staff_Costs[[#All],[Role]],0),MATCH("Per-minute cost",Staff_Costs[#Headers],0))*'Per-Participant Activities Arm1'!C19)</f>
        <v>#N/A</v>
      </c>
      <c r="AJ19" s="117" t="e">
        <f t="shared" si="0"/>
        <v>#N/A</v>
      </c>
      <c r="AK19" s="117" t="e">
        <f t="shared" si="0"/>
        <v>#N/A</v>
      </c>
      <c r="AL19" s="117" t="e">
        <f t="shared" si="0"/>
        <v>#N/A</v>
      </c>
      <c r="AM19" s="117" t="e">
        <f t="shared" si="0"/>
        <v>#N/A</v>
      </c>
      <c r="AN19" s="117" t="e">
        <f t="shared" si="0"/>
        <v>#N/A</v>
      </c>
      <c r="AO19" s="107" t="e">
        <f t="shared" si="1"/>
        <v>#N/A</v>
      </c>
      <c r="AP19" s="18"/>
      <c r="AQ19" s="18"/>
      <c r="AR19" s="18"/>
      <c r="AS19" s="18"/>
      <c r="AT19" s="18"/>
      <c r="AU19" s="18"/>
      <c r="AV19" s="18"/>
      <c r="AW19" s="18"/>
      <c r="AX19" s="18"/>
      <c r="AY19" s="18"/>
      <c r="AZ19" s="18"/>
      <c r="BA19" s="18"/>
    </row>
    <row r="20" spans="1:53" x14ac:dyDescent="0.25">
      <c r="A20" s="110"/>
      <c r="B20" s="111"/>
      <c r="C20" s="112"/>
      <c r="D20" s="111"/>
      <c r="E20" s="54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Arm1'!D20,Staff_Costs[[#All],[Role]],0),MATCH("Per-minute cost",Staff_Costs[#Headers],0))*'Per-Participant Activities Arm1'!C20)</f>
        <v>#N/A</v>
      </c>
      <c r="AJ20" s="117" t="e">
        <f t="shared" ref="AJ20:AN29" si="2">COUNTIF($F20:$AH20, AJ$8)*$AI20</f>
        <v>#N/A</v>
      </c>
      <c r="AK20" s="117" t="e">
        <f t="shared" si="2"/>
        <v>#N/A</v>
      </c>
      <c r="AL20" s="117" t="e">
        <f t="shared" si="2"/>
        <v>#N/A</v>
      </c>
      <c r="AM20" s="117" t="e">
        <f t="shared" si="2"/>
        <v>#N/A</v>
      </c>
      <c r="AN20" s="117" t="e">
        <f t="shared" si="2"/>
        <v>#N/A</v>
      </c>
      <c r="AO20" s="107" t="e">
        <f t="shared" si="1"/>
        <v>#N/A</v>
      </c>
      <c r="AP20" s="18"/>
      <c r="AQ20" s="18"/>
      <c r="AR20" s="18"/>
      <c r="AS20" s="18"/>
      <c r="AT20" s="18"/>
      <c r="AU20" s="18"/>
      <c r="AV20" s="18"/>
      <c r="AW20" s="18"/>
      <c r="AX20" s="18"/>
      <c r="AY20" s="18"/>
      <c r="AZ20" s="18"/>
      <c r="BA20" s="18"/>
    </row>
    <row r="21" spans="1:53" x14ac:dyDescent="0.25">
      <c r="A21" s="110"/>
      <c r="B21" s="111"/>
      <c r="C21" s="112"/>
      <c r="D21" s="111"/>
      <c r="E21" s="54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Arm1'!D21,Staff_Costs[[#All],[Role]],0),MATCH("Per-minute cost",Staff_Costs[#Headers],0))*'Per-Participant Activities Arm1'!C21)</f>
        <v>#N/A</v>
      </c>
      <c r="AJ21" s="117" t="e">
        <f t="shared" si="2"/>
        <v>#N/A</v>
      </c>
      <c r="AK21" s="117" t="e">
        <f t="shared" si="2"/>
        <v>#N/A</v>
      </c>
      <c r="AL21" s="117" t="e">
        <f t="shared" si="2"/>
        <v>#N/A</v>
      </c>
      <c r="AM21" s="117" t="e">
        <f t="shared" si="2"/>
        <v>#N/A</v>
      </c>
      <c r="AN21" s="117" t="e">
        <f t="shared" si="2"/>
        <v>#N/A</v>
      </c>
      <c r="AO21" s="107" t="e">
        <f t="shared" si="1"/>
        <v>#N/A</v>
      </c>
      <c r="AP21" s="18"/>
      <c r="AQ21" s="18"/>
      <c r="AR21" s="18"/>
      <c r="AS21" s="18"/>
      <c r="AT21" s="18"/>
      <c r="AU21" s="18"/>
      <c r="AV21" s="18"/>
      <c r="AW21" s="18"/>
      <c r="AX21" s="18"/>
      <c r="AY21" s="18"/>
      <c r="AZ21" s="18"/>
      <c r="BA21" s="18"/>
    </row>
    <row r="22" spans="1:53" x14ac:dyDescent="0.25">
      <c r="A22" s="110"/>
      <c r="B22" s="111"/>
      <c r="C22" s="112"/>
      <c r="D22" s="111"/>
      <c r="E22" s="54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Arm1'!D22,Staff_Costs[[#All],[Role]],0),MATCH("Per-minute cost",Staff_Costs[#Headers],0))*'Per-Participant Activities Arm1'!C22)</f>
        <v>#N/A</v>
      </c>
      <c r="AJ22" s="117" t="e">
        <f t="shared" si="2"/>
        <v>#N/A</v>
      </c>
      <c r="AK22" s="117" t="e">
        <f t="shared" si="2"/>
        <v>#N/A</v>
      </c>
      <c r="AL22" s="117" t="e">
        <f t="shared" si="2"/>
        <v>#N/A</v>
      </c>
      <c r="AM22" s="117" t="e">
        <f t="shared" si="2"/>
        <v>#N/A</v>
      </c>
      <c r="AN22" s="117" t="e">
        <f t="shared" si="2"/>
        <v>#N/A</v>
      </c>
      <c r="AO22" s="107" t="e">
        <f t="shared" si="1"/>
        <v>#N/A</v>
      </c>
      <c r="AP22" s="18"/>
      <c r="AQ22" s="18"/>
      <c r="AR22" s="18"/>
      <c r="AS22" s="18"/>
      <c r="AT22" s="18"/>
      <c r="AU22" s="18"/>
      <c r="AV22" s="18"/>
      <c r="AW22" s="18"/>
      <c r="AX22" s="18"/>
      <c r="AY22" s="18"/>
      <c r="AZ22" s="18"/>
      <c r="BA22" s="18"/>
    </row>
    <row r="23" spans="1:53" x14ac:dyDescent="0.25">
      <c r="A23" s="110"/>
      <c r="B23" s="111"/>
      <c r="C23" s="112"/>
      <c r="D23" s="111"/>
      <c r="E23" s="54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Arm1'!D23,Staff_Costs[[#All],[Role]],0),MATCH("Per-minute cost",Staff_Costs[#Headers],0))*'Per-Participant Activities Arm1'!C23)</f>
        <v>#N/A</v>
      </c>
      <c r="AJ23" s="117" t="e">
        <f t="shared" si="2"/>
        <v>#N/A</v>
      </c>
      <c r="AK23" s="117" t="e">
        <f t="shared" si="2"/>
        <v>#N/A</v>
      </c>
      <c r="AL23" s="117" t="e">
        <f t="shared" si="2"/>
        <v>#N/A</v>
      </c>
      <c r="AM23" s="117" t="e">
        <f t="shared" si="2"/>
        <v>#N/A</v>
      </c>
      <c r="AN23" s="117" t="e">
        <f t="shared" si="2"/>
        <v>#N/A</v>
      </c>
      <c r="AO23" s="107" t="e">
        <f t="shared" si="1"/>
        <v>#N/A</v>
      </c>
      <c r="AP23" s="18"/>
      <c r="AQ23" s="18"/>
      <c r="AR23" s="18"/>
      <c r="AS23" s="18"/>
      <c r="AT23" s="18"/>
      <c r="AU23" s="18"/>
      <c r="AV23" s="18"/>
      <c r="AW23" s="18"/>
      <c r="AX23" s="18"/>
      <c r="AY23" s="18"/>
      <c r="AZ23" s="18"/>
      <c r="BA23" s="18"/>
    </row>
    <row r="24" spans="1:53" x14ac:dyDescent="0.25">
      <c r="A24" s="110"/>
      <c r="B24" s="111"/>
      <c r="C24" s="112"/>
      <c r="D24" s="111"/>
      <c r="E24" s="54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Arm1'!D24,Staff_Costs[[#All],[Role]],0),MATCH("Per-minute cost",Staff_Costs[#Headers],0))*'Per-Participant Activities Arm1'!C24)</f>
        <v>#N/A</v>
      </c>
      <c r="AJ24" s="117" t="e">
        <f t="shared" si="2"/>
        <v>#N/A</v>
      </c>
      <c r="AK24" s="117" t="e">
        <f t="shared" si="2"/>
        <v>#N/A</v>
      </c>
      <c r="AL24" s="117" t="e">
        <f t="shared" si="2"/>
        <v>#N/A</v>
      </c>
      <c r="AM24" s="117" t="e">
        <f t="shared" si="2"/>
        <v>#N/A</v>
      </c>
      <c r="AN24" s="117" t="e">
        <f t="shared" si="2"/>
        <v>#N/A</v>
      </c>
      <c r="AO24" s="107" t="e">
        <f t="shared" si="1"/>
        <v>#N/A</v>
      </c>
      <c r="AP24" s="18"/>
      <c r="AQ24" s="18"/>
      <c r="AR24" s="18"/>
      <c r="AS24" s="18"/>
      <c r="AT24" s="18"/>
      <c r="AU24" s="18"/>
      <c r="AV24" s="18"/>
      <c r="AW24" s="18"/>
      <c r="AX24" s="18"/>
      <c r="AY24" s="18"/>
      <c r="AZ24" s="18"/>
      <c r="BA24" s="18"/>
    </row>
    <row r="25" spans="1:53" x14ac:dyDescent="0.25">
      <c r="A25" s="110"/>
      <c r="B25" s="111"/>
      <c r="C25" s="112"/>
      <c r="D25" s="111"/>
      <c r="E25" s="54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Arm1'!D25,Staff_Costs[[#All],[Role]],0),MATCH("Per-minute cost",Staff_Costs[#Headers],0))*'Per-Participant Activities Arm1'!C25)</f>
        <v>#N/A</v>
      </c>
      <c r="AJ25" s="117" t="e">
        <f t="shared" si="2"/>
        <v>#N/A</v>
      </c>
      <c r="AK25" s="117" t="e">
        <f t="shared" si="2"/>
        <v>#N/A</v>
      </c>
      <c r="AL25" s="117" t="e">
        <f t="shared" si="2"/>
        <v>#N/A</v>
      </c>
      <c r="AM25" s="117" t="e">
        <f t="shared" si="2"/>
        <v>#N/A</v>
      </c>
      <c r="AN25" s="117" t="e">
        <f t="shared" si="2"/>
        <v>#N/A</v>
      </c>
      <c r="AO25" s="107" t="e">
        <f t="shared" si="1"/>
        <v>#N/A</v>
      </c>
      <c r="AP25" s="18"/>
      <c r="AQ25" s="18"/>
      <c r="AR25" s="18"/>
      <c r="AS25" s="18"/>
      <c r="AT25" s="18"/>
      <c r="AU25" s="18"/>
      <c r="AV25" s="18"/>
      <c r="AW25" s="18"/>
      <c r="AX25" s="18"/>
      <c r="AY25" s="18"/>
      <c r="AZ25" s="18"/>
      <c r="BA25" s="18"/>
    </row>
    <row r="26" spans="1:53" x14ac:dyDescent="0.25">
      <c r="A26" s="110"/>
      <c r="B26" s="111"/>
      <c r="C26" s="112"/>
      <c r="D26" s="111"/>
      <c r="E26" s="54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Arm1'!D26,Staff_Costs[[#All],[Role]],0),MATCH("Per-minute cost",Staff_Costs[#Headers],0))*'Per-Participant Activities Arm1'!C26)</f>
        <v>#N/A</v>
      </c>
      <c r="AJ26" s="117" t="e">
        <f t="shared" si="2"/>
        <v>#N/A</v>
      </c>
      <c r="AK26" s="117" t="e">
        <f t="shared" si="2"/>
        <v>#N/A</v>
      </c>
      <c r="AL26" s="117" t="e">
        <f t="shared" si="2"/>
        <v>#N/A</v>
      </c>
      <c r="AM26" s="117" t="e">
        <f t="shared" si="2"/>
        <v>#N/A</v>
      </c>
      <c r="AN26" s="117" t="e">
        <f t="shared" si="2"/>
        <v>#N/A</v>
      </c>
      <c r="AO26" s="107" t="e">
        <f t="shared" si="1"/>
        <v>#N/A</v>
      </c>
      <c r="AP26" s="18"/>
      <c r="AQ26" s="18"/>
      <c r="AR26" s="18"/>
      <c r="AS26" s="18"/>
      <c r="AT26" s="18"/>
      <c r="AU26" s="18"/>
      <c r="AV26" s="18"/>
      <c r="AW26" s="18"/>
      <c r="AX26" s="18"/>
      <c r="AY26" s="18"/>
      <c r="AZ26" s="18"/>
      <c r="BA26" s="18"/>
    </row>
    <row r="27" spans="1:53" x14ac:dyDescent="0.25">
      <c r="A27" s="110"/>
      <c r="B27" s="111"/>
      <c r="C27" s="112"/>
      <c r="D27" s="111"/>
      <c r="E27" s="54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Arm1'!D27,Staff_Costs[[#All],[Role]],0),MATCH("Per-minute cost",Staff_Costs[#Headers],0))*'Per-Participant Activities Arm1'!C27)</f>
        <v>#N/A</v>
      </c>
      <c r="AJ27" s="117" t="e">
        <f t="shared" si="2"/>
        <v>#N/A</v>
      </c>
      <c r="AK27" s="117" t="e">
        <f t="shared" si="2"/>
        <v>#N/A</v>
      </c>
      <c r="AL27" s="117" t="e">
        <f t="shared" si="2"/>
        <v>#N/A</v>
      </c>
      <c r="AM27" s="117" t="e">
        <f t="shared" si="2"/>
        <v>#N/A</v>
      </c>
      <c r="AN27" s="117" t="e">
        <f t="shared" si="2"/>
        <v>#N/A</v>
      </c>
      <c r="AO27" s="107" t="e">
        <f t="shared" si="1"/>
        <v>#N/A</v>
      </c>
      <c r="AP27" s="18"/>
      <c r="AQ27" s="18"/>
      <c r="AR27" s="18"/>
      <c r="AS27" s="18"/>
      <c r="AT27" s="18"/>
      <c r="AU27" s="18"/>
      <c r="AV27" s="18"/>
      <c r="AW27" s="18"/>
      <c r="AX27" s="18"/>
      <c r="AY27" s="18"/>
      <c r="AZ27" s="18"/>
      <c r="BA27" s="18"/>
    </row>
    <row r="28" spans="1:53" x14ac:dyDescent="0.25">
      <c r="A28" s="110"/>
      <c r="B28" s="111"/>
      <c r="C28" s="112"/>
      <c r="D28" s="111"/>
      <c r="E28" s="54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Arm1'!D28,Staff_Costs[[#All],[Role]],0),MATCH("Per-minute cost",Staff_Costs[#Headers],0))*'Per-Participant Activities Arm1'!C28)</f>
        <v>#N/A</v>
      </c>
      <c r="AJ28" s="117" t="e">
        <f t="shared" si="2"/>
        <v>#N/A</v>
      </c>
      <c r="AK28" s="117" t="e">
        <f t="shared" si="2"/>
        <v>#N/A</v>
      </c>
      <c r="AL28" s="117" t="e">
        <f t="shared" si="2"/>
        <v>#N/A</v>
      </c>
      <c r="AM28" s="117" t="e">
        <f t="shared" si="2"/>
        <v>#N/A</v>
      </c>
      <c r="AN28" s="117" t="e">
        <f t="shared" si="2"/>
        <v>#N/A</v>
      </c>
      <c r="AO28" s="107" t="e">
        <f t="shared" si="1"/>
        <v>#N/A</v>
      </c>
      <c r="AP28" s="18"/>
      <c r="AQ28" s="18"/>
      <c r="AR28" s="18"/>
      <c r="AS28" s="18"/>
      <c r="AT28" s="18"/>
      <c r="AU28" s="18"/>
      <c r="AV28" s="18"/>
      <c r="AW28" s="18"/>
      <c r="AX28" s="18"/>
      <c r="AY28" s="18"/>
      <c r="AZ28" s="18"/>
      <c r="BA28" s="18"/>
    </row>
    <row r="29" spans="1:53" x14ac:dyDescent="0.25">
      <c r="A29" s="110"/>
      <c r="B29" s="111"/>
      <c r="C29" s="112"/>
      <c r="D29" s="111"/>
      <c r="E29" s="54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Arm1'!D29,Staff_Costs[[#All],[Role]],0),MATCH("Per-minute cost",Staff_Costs[#Headers],0))*'Per-Participant Activities Arm1'!C29)</f>
        <v>#N/A</v>
      </c>
      <c r="AJ29" s="117" t="e">
        <f t="shared" si="2"/>
        <v>#N/A</v>
      </c>
      <c r="AK29" s="117" t="e">
        <f t="shared" si="2"/>
        <v>#N/A</v>
      </c>
      <c r="AL29" s="117" t="e">
        <f t="shared" si="2"/>
        <v>#N/A</v>
      </c>
      <c r="AM29" s="117" t="e">
        <f t="shared" si="2"/>
        <v>#N/A</v>
      </c>
      <c r="AN29" s="117" t="e">
        <f t="shared" si="2"/>
        <v>#N/A</v>
      </c>
      <c r="AO29" s="107" t="e">
        <f t="shared" si="1"/>
        <v>#N/A</v>
      </c>
      <c r="AP29" s="18"/>
      <c r="AQ29" s="18"/>
      <c r="AR29" s="18"/>
      <c r="AS29" s="18"/>
      <c r="AT29" s="18"/>
      <c r="AU29" s="18"/>
      <c r="AV29" s="18"/>
      <c r="AW29" s="18"/>
      <c r="AX29" s="18"/>
      <c r="AY29" s="18"/>
      <c r="AZ29" s="18"/>
      <c r="BA29" s="18"/>
    </row>
    <row r="30" spans="1:53" x14ac:dyDescent="0.25">
      <c r="A30" s="110"/>
      <c r="B30" s="111"/>
      <c r="C30" s="112"/>
      <c r="D30" s="111"/>
      <c r="E30" s="54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Arm1'!D30,Staff_Costs[[#All],[Role]],0),MATCH("Per-minute cost",Staff_Costs[#Headers],0))*'Per-Participant Activities Arm1'!C30)</f>
        <v>#N/A</v>
      </c>
      <c r="AJ30" s="117" t="e">
        <f t="shared" ref="AJ30:AN39" si="3">COUNTIF($F30:$AH30, AJ$8)*$AI30</f>
        <v>#N/A</v>
      </c>
      <c r="AK30" s="117" t="e">
        <f t="shared" si="3"/>
        <v>#N/A</v>
      </c>
      <c r="AL30" s="117" t="e">
        <f t="shared" si="3"/>
        <v>#N/A</v>
      </c>
      <c r="AM30" s="117" t="e">
        <f t="shared" si="3"/>
        <v>#N/A</v>
      </c>
      <c r="AN30" s="117" t="e">
        <f t="shared" si="3"/>
        <v>#N/A</v>
      </c>
      <c r="AO30" s="107" t="e">
        <f t="shared" si="1"/>
        <v>#N/A</v>
      </c>
      <c r="AP30" s="18"/>
      <c r="AQ30" s="18"/>
      <c r="AR30" s="18"/>
      <c r="AS30" s="18"/>
      <c r="AT30" s="18"/>
      <c r="AU30" s="18"/>
      <c r="AV30" s="18"/>
      <c r="AW30" s="18"/>
      <c r="AX30" s="18"/>
      <c r="AY30" s="18"/>
      <c r="AZ30" s="18"/>
      <c r="BA30" s="18"/>
    </row>
    <row r="31" spans="1:53" x14ac:dyDescent="0.25">
      <c r="A31" s="110"/>
      <c r="B31" s="111"/>
      <c r="C31" s="112"/>
      <c r="D31" s="111"/>
      <c r="E31" s="54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Arm1'!D31,Staff_Costs[[#All],[Role]],0),MATCH("Per-minute cost",Staff_Costs[#Headers],0))*'Per-Participant Activities Arm1'!C31)</f>
        <v>#N/A</v>
      </c>
      <c r="AJ31" s="117" t="e">
        <f t="shared" si="3"/>
        <v>#N/A</v>
      </c>
      <c r="AK31" s="117" t="e">
        <f t="shared" si="3"/>
        <v>#N/A</v>
      </c>
      <c r="AL31" s="117" t="e">
        <f t="shared" si="3"/>
        <v>#N/A</v>
      </c>
      <c r="AM31" s="117" t="e">
        <f t="shared" si="3"/>
        <v>#N/A</v>
      </c>
      <c r="AN31" s="117" t="e">
        <f t="shared" si="3"/>
        <v>#N/A</v>
      </c>
      <c r="AO31" s="107" t="e">
        <f t="shared" si="1"/>
        <v>#N/A</v>
      </c>
      <c r="AP31" s="18"/>
      <c r="AQ31" s="18"/>
      <c r="AR31" s="18"/>
      <c r="AS31" s="18"/>
      <c r="AT31" s="18"/>
      <c r="AU31" s="18"/>
      <c r="AV31" s="18"/>
      <c r="AW31" s="18"/>
      <c r="AX31" s="18"/>
      <c r="AY31" s="18"/>
      <c r="AZ31" s="18"/>
      <c r="BA31" s="18"/>
    </row>
    <row r="32" spans="1:53" x14ac:dyDescent="0.25">
      <c r="A32" s="110"/>
      <c r="B32" s="111"/>
      <c r="C32" s="112"/>
      <c r="D32" s="111"/>
      <c r="E32" s="54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Arm1'!D32,Staff_Costs[[#All],[Role]],0),MATCH("Per-minute cost",Staff_Costs[#Headers],0))*'Per-Participant Activities Arm1'!C32)</f>
        <v>#N/A</v>
      </c>
      <c r="AJ32" s="117" t="e">
        <f t="shared" si="3"/>
        <v>#N/A</v>
      </c>
      <c r="AK32" s="117" t="e">
        <f t="shared" si="3"/>
        <v>#N/A</v>
      </c>
      <c r="AL32" s="117" t="e">
        <f t="shared" si="3"/>
        <v>#N/A</v>
      </c>
      <c r="AM32" s="117" t="e">
        <f t="shared" si="3"/>
        <v>#N/A</v>
      </c>
      <c r="AN32" s="117" t="e">
        <f t="shared" si="3"/>
        <v>#N/A</v>
      </c>
      <c r="AO32" s="107" t="e">
        <f t="shared" si="1"/>
        <v>#N/A</v>
      </c>
      <c r="AP32" s="18"/>
      <c r="AQ32" s="18"/>
      <c r="AR32" s="18"/>
      <c r="AS32" s="18"/>
      <c r="AT32" s="18"/>
      <c r="AU32" s="18"/>
      <c r="AV32" s="18"/>
      <c r="AW32" s="18"/>
      <c r="AX32" s="18"/>
      <c r="AY32" s="18"/>
      <c r="AZ32" s="18"/>
      <c r="BA32" s="18"/>
    </row>
    <row r="33" spans="1:53" x14ac:dyDescent="0.25">
      <c r="A33" s="110"/>
      <c r="B33" s="111"/>
      <c r="C33" s="112"/>
      <c r="D33" s="111"/>
      <c r="E33" s="54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Arm1'!D33,Staff_Costs[[#All],[Role]],0),MATCH("Per-minute cost",Staff_Costs[#Headers],0))*'Per-Participant Activities Arm1'!C33)</f>
        <v>#N/A</v>
      </c>
      <c r="AJ33" s="117" t="e">
        <f t="shared" si="3"/>
        <v>#N/A</v>
      </c>
      <c r="AK33" s="117" t="e">
        <f t="shared" si="3"/>
        <v>#N/A</v>
      </c>
      <c r="AL33" s="117" t="e">
        <f t="shared" si="3"/>
        <v>#N/A</v>
      </c>
      <c r="AM33" s="117" t="e">
        <f t="shared" si="3"/>
        <v>#N/A</v>
      </c>
      <c r="AN33" s="117" t="e">
        <f t="shared" si="3"/>
        <v>#N/A</v>
      </c>
      <c r="AO33" s="107" t="e">
        <f t="shared" si="1"/>
        <v>#N/A</v>
      </c>
      <c r="AP33" s="18"/>
      <c r="AQ33" s="18"/>
      <c r="AR33" s="18"/>
      <c r="AS33" s="18"/>
      <c r="AT33" s="18"/>
      <c r="AU33" s="18"/>
      <c r="AV33" s="18"/>
      <c r="AW33" s="18"/>
      <c r="AX33" s="18"/>
      <c r="AY33" s="18"/>
      <c r="AZ33" s="18"/>
      <c r="BA33" s="18"/>
    </row>
    <row r="34" spans="1:53" x14ac:dyDescent="0.25">
      <c r="A34" s="110"/>
      <c r="B34" s="111"/>
      <c r="C34" s="112"/>
      <c r="D34" s="111"/>
      <c r="E34" s="54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Arm1'!D34,Staff_Costs[[#All],[Role]],0),MATCH("Per-minute cost",Staff_Costs[#Headers],0))*'Per-Participant Activities Arm1'!C34)</f>
        <v>#N/A</v>
      </c>
      <c r="AJ34" s="117" t="e">
        <f t="shared" si="3"/>
        <v>#N/A</v>
      </c>
      <c r="AK34" s="117" t="e">
        <f t="shared" si="3"/>
        <v>#N/A</v>
      </c>
      <c r="AL34" s="117" t="e">
        <f t="shared" si="3"/>
        <v>#N/A</v>
      </c>
      <c r="AM34" s="117" t="e">
        <f t="shared" si="3"/>
        <v>#N/A</v>
      </c>
      <c r="AN34" s="117" t="e">
        <f t="shared" si="3"/>
        <v>#N/A</v>
      </c>
      <c r="AO34" s="107" t="e">
        <f t="shared" si="1"/>
        <v>#N/A</v>
      </c>
      <c r="AP34" s="18"/>
      <c r="AQ34" s="18"/>
      <c r="AR34" s="18"/>
      <c r="AS34" s="18"/>
      <c r="AT34" s="18"/>
      <c r="AU34" s="18"/>
      <c r="AV34" s="18"/>
      <c r="AW34" s="18"/>
      <c r="AX34" s="18"/>
      <c r="AY34" s="18"/>
      <c r="AZ34" s="18"/>
      <c r="BA34" s="18"/>
    </row>
    <row r="35" spans="1:53" x14ac:dyDescent="0.25">
      <c r="A35" s="110"/>
      <c r="B35" s="111"/>
      <c r="C35" s="112"/>
      <c r="D35" s="111"/>
      <c r="E35" s="54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Arm1'!D35,Staff_Costs[[#All],[Role]],0),MATCH("Per-minute cost",Staff_Costs[#Headers],0))*'Per-Participant Activities Arm1'!C35)</f>
        <v>#N/A</v>
      </c>
      <c r="AJ35" s="117" t="e">
        <f t="shared" si="3"/>
        <v>#N/A</v>
      </c>
      <c r="AK35" s="117" t="e">
        <f t="shared" si="3"/>
        <v>#N/A</v>
      </c>
      <c r="AL35" s="117" t="e">
        <f t="shared" si="3"/>
        <v>#N/A</v>
      </c>
      <c r="AM35" s="117" t="e">
        <f t="shared" si="3"/>
        <v>#N/A</v>
      </c>
      <c r="AN35" s="117" t="e">
        <f t="shared" si="3"/>
        <v>#N/A</v>
      </c>
      <c r="AO35" s="107" t="e">
        <f t="shared" si="1"/>
        <v>#N/A</v>
      </c>
      <c r="AP35" s="18"/>
      <c r="AQ35" s="18"/>
      <c r="AR35" s="18"/>
      <c r="AS35" s="18"/>
      <c r="AT35" s="18"/>
      <c r="AU35" s="18"/>
      <c r="AV35" s="18"/>
      <c r="AW35" s="18"/>
      <c r="AX35" s="18"/>
      <c r="AY35" s="18"/>
      <c r="AZ35" s="18"/>
      <c r="BA35" s="18"/>
    </row>
    <row r="36" spans="1:53" x14ac:dyDescent="0.25">
      <c r="A36" s="110"/>
      <c r="B36" s="111"/>
      <c r="C36" s="112"/>
      <c r="D36" s="111"/>
      <c r="E36" s="54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Arm1'!D36,Staff_Costs[[#All],[Role]],0),MATCH("Per-minute cost",Staff_Costs[#Headers],0))*'Per-Participant Activities Arm1'!C36)</f>
        <v>#N/A</v>
      </c>
      <c r="AJ36" s="117" t="e">
        <f t="shared" si="3"/>
        <v>#N/A</v>
      </c>
      <c r="AK36" s="117" t="e">
        <f t="shared" si="3"/>
        <v>#N/A</v>
      </c>
      <c r="AL36" s="117" t="e">
        <f t="shared" si="3"/>
        <v>#N/A</v>
      </c>
      <c r="AM36" s="117" t="e">
        <f t="shared" si="3"/>
        <v>#N/A</v>
      </c>
      <c r="AN36" s="117" t="e">
        <f t="shared" si="3"/>
        <v>#N/A</v>
      </c>
      <c r="AO36" s="107" t="e">
        <f t="shared" si="1"/>
        <v>#N/A</v>
      </c>
      <c r="AP36" s="18"/>
      <c r="AQ36" s="18"/>
      <c r="AR36" s="18"/>
      <c r="AS36" s="18"/>
      <c r="AT36" s="18"/>
      <c r="AU36" s="18"/>
      <c r="AV36" s="18"/>
      <c r="AW36" s="18"/>
      <c r="AX36" s="18"/>
      <c r="AY36" s="18"/>
      <c r="AZ36" s="18"/>
      <c r="BA36" s="18"/>
    </row>
    <row r="37" spans="1:53" x14ac:dyDescent="0.25">
      <c r="A37" s="110"/>
      <c r="B37" s="111"/>
      <c r="C37" s="112"/>
      <c r="D37" s="111"/>
      <c r="E37" s="54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Arm1'!D37,Staff_Costs[[#All],[Role]],0),MATCH("Per-minute cost",Staff_Costs[#Headers],0))*'Per-Participant Activities Arm1'!C37)</f>
        <v>#N/A</v>
      </c>
      <c r="AJ37" s="117" t="e">
        <f t="shared" si="3"/>
        <v>#N/A</v>
      </c>
      <c r="AK37" s="117" t="e">
        <f t="shared" si="3"/>
        <v>#N/A</v>
      </c>
      <c r="AL37" s="117" t="e">
        <f t="shared" si="3"/>
        <v>#N/A</v>
      </c>
      <c r="AM37" s="117" t="e">
        <f t="shared" si="3"/>
        <v>#N/A</v>
      </c>
      <c r="AN37" s="117" t="e">
        <f t="shared" si="3"/>
        <v>#N/A</v>
      </c>
      <c r="AO37" s="107" t="e">
        <f t="shared" si="1"/>
        <v>#N/A</v>
      </c>
      <c r="AP37" s="18"/>
      <c r="AQ37" s="18"/>
      <c r="AR37" s="18"/>
      <c r="AS37" s="18"/>
      <c r="AT37" s="18"/>
      <c r="AU37" s="18"/>
      <c r="AV37" s="18"/>
      <c r="AW37" s="18"/>
      <c r="AX37" s="18"/>
      <c r="AY37" s="18"/>
      <c r="AZ37" s="18"/>
      <c r="BA37" s="18"/>
    </row>
    <row r="38" spans="1:53" x14ac:dyDescent="0.25">
      <c r="A38" s="110"/>
      <c r="B38" s="111"/>
      <c r="C38" s="112"/>
      <c r="D38" s="111"/>
      <c r="E38" s="54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Arm1'!D38,Staff_Costs[[#All],[Role]],0),MATCH("Per-minute cost",Staff_Costs[#Headers],0))*'Per-Participant Activities Arm1'!C38)</f>
        <v>#N/A</v>
      </c>
      <c r="AJ38" s="117" t="e">
        <f t="shared" si="3"/>
        <v>#N/A</v>
      </c>
      <c r="AK38" s="117" t="e">
        <f t="shared" si="3"/>
        <v>#N/A</v>
      </c>
      <c r="AL38" s="117" t="e">
        <f t="shared" si="3"/>
        <v>#N/A</v>
      </c>
      <c r="AM38" s="117" t="e">
        <f t="shared" si="3"/>
        <v>#N/A</v>
      </c>
      <c r="AN38" s="117" t="e">
        <f t="shared" si="3"/>
        <v>#N/A</v>
      </c>
      <c r="AO38" s="107" t="e">
        <f t="shared" si="1"/>
        <v>#N/A</v>
      </c>
      <c r="AP38" s="18"/>
      <c r="AQ38" s="18"/>
      <c r="AR38" s="18"/>
      <c r="AS38" s="18"/>
      <c r="AT38" s="18"/>
      <c r="AU38" s="18"/>
      <c r="AV38" s="18"/>
      <c r="AW38" s="18"/>
      <c r="AX38" s="18"/>
      <c r="AY38" s="18"/>
      <c r="AZ38" s="18"/>
      <c r="BA38" s="18"/>
    </row>
    <row r="39" spans="1:53" x14ac:dyDescent="0.25">
      <c r="A39" s="110"/>
      <c r="B39" s="111"/>
      <c r="C39" s="112"/>
      <c r="D39" s="111"/>
      <c r="E39" s="54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Arm1'!D39,Staff_Costs[[#All],[Role]],0),MATCH("Per-minute cost",Staff_Costs[#Headers],0))*'Per-Participant Activities Arm1'!C39)</f>
        <v>#N/A</v>
      </c>
      <c r="AJ39" s="117" t="e">
        <f t="shared" si="3"/>
        <v>#N/A</v>
      </c>
      <c r="AK39" s="117" t="e">
        <f t="shared" si="3"/>
        <v>#N/A</v>
      </c>
      <c r="AL39" s="117" t="e">
        <f t="shared" si="3"/>
        <v>#N/A</v>
      </c>
      <c r="AM39" s="117" t="e">
        <f t="shared" si="3"/>
        <v>#N/A</v>
      </c>
      <c r="AN39" s="117" t="e">
        <f t="shared" si="3"/>
        <v>#N/A</v>
      </c>
      <c r="AO39" s="107" t="e">
        <f t="shared" si="1"/>
        <v>#N/A</v>
      </c>
      <c r="AP39" s="18"/>
      <c r="AQ39" s="18"/>
      <c r="AR39" s="18"/>
      <c r="AS39" s="18"/>
      <c r="AT39" s="18"/>
      <c r="AU39" s="18"/>
      <c r="AV39" s="18"/>
      <c r="AW39" s="18"/>
      <c r="AX39" s="18"/>
      <c r="AY39" s="18"/>
      <c r="AZ39" s="18"/>
      <c r="BA39" s="18"/>
    </row>
    <row r="40" spans="1:53" x14ac:dyDescent="0.25">
      <c r="A40" s="110"/>
      <c r="B40" s="111"/>
      <c r="C40" s="112"/>
      <c r="D40" s="111"/>
      <c r="E40" s="54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Arm1'!D40,Staff_Costs[[#All],[Role]],0),MATCH("Per-minute cost",Staff_Costs[#Headers],0))*'Per-Participant Activities Arm1'!C40)</f>
        <v>#N/A</v>
      </c>
      <c r="AJ40" s="117" t="e">
        <f t="shared" ref="AJ40:AN49" si="4">COUNTIF($F40:$AH40, AJ$8)*$AI40</f>
        <v>#N/A</v>
      </c>
      <c r="AK40" s="117" t="e">
        <f t="shared" si="4"/>
        <v>#N/A</v>
      </c>
      <c r="AL40" s="117" t="e">
        <f t="shared" si="4"/>
        <v>#N/A</v>
      </c>
      <c r="AM40" s="117" t="e">
        <f t="shared" si="4"/>
        <v>#N/A</v>
      </c>
      <c r="AN40" s="117" t="e">
        <f t="shared" si="4"/>
        <v>#N/A</v>
      </c>
      <c r="AO40" s="107" t="e">
        <f t="shared" si="1"/>
        <v>#N/A</v>
      </c>
      <c r="AP40" s="18"/>
      <c r="AQ40" s="18"/>
      <c r="AR40" s="18"/>
      <c r="AS40" s="18"/>
      <c r="AT40" s="18"/>
      <c r="AU40" s="18"/>
      <c r="AV40" s="18"/>
      <c r="AW40" s="18"/>
      <c r="AX40" s="18"/>
      <c r="AY40" s="18"/>
      <c r="AZ40" s="18"/>
      <c r="BA40" s="18"/>
    </row>
    <row r="41" spans="1:53" x14ac:dyDescent="0.25">
      <c r="A41" s="110"/>
      <c r="B41" s="111"/>
      <c r="C41" s="112"/>
      <c r="D41" s="111"/>
      <c r="E41" s="54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Arm1'!D41,Staff_Costs[[#All],[Role]],0),MATCH("Per-minute cost",Staff_Costs[#Headers],0))*'Per-Participant Activities Arm1'!C41)</f>
        <v>#N/A</v>
      </c>
      <c r="AJ41" s="117" t="e">
        <f t="shared" si="4"/>
        <v>#N/A</v>
      </c>
      <c r="AK41" s="117" t="e">
        <f t="shared" si="4"/>
        <v>#N/A</v>
      </c>
      <c r="AL41" s="117" t="e">
        <f t="shared" si="4"/>
        <v>#N/A</v>
      </c>
      <c r="AM41" s="117" t="e">
        <f t="shared" si="4"/>
        <v>#N/A</v>
      </c>
      <c r="AN41" s="117" t="e">
        <f t="shared" si="4"/>
        <v>#N/A</v>
      </c>
      <c r="AO41" s="107" t="e">
        <f t="shared" si="1"/>
        <v>#N/A</v>
      </c>
      <c r="AP41" s="18"/>
      <c r="AQ41" s="18"/>
      <c r="AR41" s="18"/>
      <c r="AS41" s="18"/>
      <c r="AT41" s="18"/>
      <c r="AU41" s="18"/>
      <c r="AV41" s="18"/>
      <c r="AW41" s="18"/>
      <c r="AX41" s="18"/>
      <c r="AY41" s="18"/>
      <c r="AZ41" s="18"/>
      <c r="BA41" s="18"/>
    </row>
    <row r="42" spans="1:53" x14ac:dyDescent="0.25">
      <c r="A42" s="110"/>
      <c r="B42" s="111"/>
      <c r="C42" s="112"/>
      <c r="D42" s="111"/>
      <c r="E42" s="54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Arm1'!D42,Staff_Costs[[#All],[Role]],0),MATCH("Per-minute cost",Staff_Costs[#Headers],0))*'Per-Participant Activities Arm1'!C42)</f>
        <v>#N/A</v>
      </c>
      <c r="AJ42" s="117" t="e">
        <f t="shared" si="4"/>
        <v>#N/A</v>
      </c>
      <c r="AK42" s="117" t="e">
        <f t="shared" si="4"/>
        <v>#N/A</v>
      </c>
      <c r="AL42" s="117" t="e">
        <f t="shared" si="4"/>
        <v>#N/A</v>
      </c>
      <c r="AM42" s="117" t="e">
        <f t="shared" si="4"/>
        <v>#N/A</v>
      </c>
      <c r="AN42" s="117" t="e">
        <f t="shared" si="4"/>
        <v>#N/A</v>
      </c>
      <c r="AO42" s="107" t="e">
        <f t="shared" ref="AO42:AO63" si="5">INDEX(Tariff_Activity_Type,MATCH(B42,Tariff_Activity,0))</f>
        <v>#N/A</v>
      </c>
      <c r="AP42" s="18"/>
      <c r="AQ42" s="18"/>
      <c r="AR42" s="18"/>
      <c r="AS42" s="18"/>
      <c r="AT42" s="18"/>
      <c r="AU42" s="18"/>
      <c r="AV42" s="18"/>
      <c r="AW42" s="18"/>
      <c r="AX42" s="18"/>
      <c r="AY42" s="18"/>
      <c r="AZ42" s="18"/>
      <c r="BA42" s="18"/>
    </row>
    <row r="43" spans="1:53" x14ac:dyDescent="0.25">
      <c r="A43" s="110"/>
      <c r="B43" s="111"/>
      <c r="C43" s="112"/>
      <c r="D43" s="111"/>
      <c r="E43" s="54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Arm1'!D43,Staff_Costs[[#All],[Role]],0),MATCH("Per-minute cost",Staff_Costs[#Headers],0))*'Per-Participant Activities Arm1'!C43)</f>
        <v>#N/A</v>
      </c>
      <c r="AJ43" s="117" t="e">
        <f t="shared" si="4"/>
        <v>#N/A</v>
      </c>
      <c r="AK43" s="117" t="e">
        <f t="shared" si="4"/>
        <v>#N/A</v>
      </c>
      <c r="AL43" s="117" t="e">
        <f t="shared" si="4"/>
        <v>#N/A</v>
      </c>
      <c r="AM43" s="117" t="e">
        <f t="shared" si="4"/>
        <v>#N/A</v>
      </c>
      <c r="AN43" s="117" t="e">
        <f t="shared" si="4"/>
        <v>#N/A</v>
      </c>
      <c r="AO43" s="107" t="e">
        <f t="shared" si="5"/>
        <v>#N/A</v>
      </c>
      <c r="AP43" s="18"/>
      <c r="AQ43" s="18"/>
      <c r="AR43" s="18"/>
      <c r="AS43" s="18"/>
      <c r="AT43" s="18"/>
      <c r="AU43" s="18"/>
      <c r="AV43" s="18"/>
      <c r="AW43" s="18"/>
      <c r="AX43" s="18"/>
      <c r="AY43" s="18"/>
      <c r="AZ43" s="18"/>
      <c r="BA43" s="18"/>
    </row>
    <row r="44" spans="1:53" x14ac:dyDescent="0.25">
      <c r="A44" s="110"/>
      <c r="B44" s="111"/>
      <c r="C44" s="112"/>
      <c r="D44" s="111"/>
      <c r="E44" s="54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Arm1'!D44,Staff_Costs[[#All],[Role]],0),MATCH("Per-minute cost",Staff_Costs[#Headers],0))*'Per-Participant Activities Arm1'!C44)</f>
        <v>#N/A</v>
      </c>
      <c r="AJ44" s="117" t="e">
        <f t="shared" si="4"/>
        <v>#N/A</v>
      </c>
      <c r="AK44" s="117" t="e">
        <f t="shared" si="4"/>
        <v>#N/A</v>
      </c>
      <c r="AL44" s="117" t="e">
        <f t="shared" si="4"/>
        <v>#N/A</v>
      </c>
      <c r="AM44" s="117" t="e">
        <f t="shared" si="4"/>
        <v>#N/A</v>
      </c>
      <c r="AN44" s="117" t="e">
        <f t="shared" si="4"/>
        <v>#N/A</v>
      </c>
      <c r="AO44" s="107" t="e">
        <f t="shared" si="5"/>
        <v>#N/A</v>
      </c>
      <c r="AP44" s="18"/>
      <c r="AQ44" s="18"/>
      <c r="AR44" s="18"/>
      <c r="AS44" s="18"/>
      <c r="AT44" s="18"/>
      <c r="AU44" s="18"/>
      <c r="AV44" s="18"/>
      <c r="AW44" s="18"/>
      <c r="AX44" s="18"/>
      <c r="AY44" s="18"/>
      <c r="AZ44" s="18"/>
      <c r="BA44" s="18"/>
    </row>
    <row r="45" spans="1:53" x14ac:dyDescent="0.25">
      <c r="A45" s="110"/>
      <c r="B45" s="111"/>
      <c r="C45" s="112"/>
      <c r="D45" s="111"/>
      <c r="E45" s="54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Arm1'!D45,Staff_Costs[[#All],[Role]],0),MATCH("Per-minute cost",Staff_Costs[#Headers],0))*'Per-Participant Activities Arm1'!C45)</f>
        <v>#N/A</v>
      </c>
      <c r="AJ45" s="117" t="e">
        <f t="shared" si="4"/>
        <v>#N/A</v>
      </c>
      <c r="AK45" s="117" t="e">
        <f t="shared" si="4"/>
        <v>#N/A</v>
      </c>
      <c r="AL45" s="117" t="e">
        <f t="shared" si="4"/>
        <v>#N/A</v>
      </c>
      <c r="AM45" s="117" t="e">
        <f t="shared" si="4"/>
        <v>#N/A</v>
      </c>
      <c r="AN45" s="117" t="e">
        <f t="shared" si="4"/>
        <v>#N/A</v>
      </c>
      <c r="AO45" s="107" t="e">
        <f t="shared" si="5"/>
        <v>#N/A</v>
      </c>
      <c r="AP45" s="18"/>
      <c r="AQ45" s="18"/>
      <c r="AR45" s="18"/>
      <c r="AS45" s="18"/>
      <c r="AT45" s="18"/>
      <c r="AU45" s="18"/>
      <c r="AV45" s="18"/>
      <c r="AW45" s="18"/>
      <c r="AX45" s="18"/>
      <c r="AY45" s="18"/>
      <c r="AZ45" s="18"/>
      <c r="BA45" s="18"/>
    </row>
    <row r="46" spans="1:53" x14ac:dyDescent="0.25">
      <c r="A46" s="110"/>
      <c r="B46" s="111"/>
      <c r="C46" s="112"/>
      <c r="D46" s="111"/>
      <c r="E46" s="54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Arm1'!D46,Staff_Costs[[#All],[Role]],0),MATCH("Per-minute cost",Staff_Costs[#Headers],0))*'Per-Participant Activities Arm1'!C46)</f>
        <v>#N/A</v>
      </c>
      <c r="AJ46" s="117" t="e">
        <f t="shared" si="4"/>
        <v>#N/A</v>
      </c>
      <c r="AK46" s="117" t="e">
        <f t="shared" si="4"/>
        <v>#N/A</v>
      </c>
      <c r="AL46" s="117" t="e">
        <f t="shared" si="4"/>
        <v>#N/A</v>
      </c>
      <c r="AM46" s="117" t="e">
        <f t="shared" si="4"/>
        <v>#N/A</v>
      </c>
      <c r="AN46" s="117" t="e">
        <f t="shared" si="4"/>
        <v>#N/A</v>
      </c>
      <c r="AO46" s="107" t="e">
        <f t="shared" si="5"/>
        <v>#N/A</v>
      </c>
      <c r="AP46" s="18"/>
      <c r="AQ46" s="18"/>
      <c r="AR46" s="18"/>
      <c r="AS46" s="18"/>
      <c r="AT46" s="18"/>
      <c r="AU46" s="18"/>
      <c r="AV46" s="18"/>
      <c r="AW46" s="18"/>
      <c r="AX46" s="18"/>
      <c r="AY46" s="18"/>
      <c r="AZ46" s="18"/>
      <c r="BA46" s="18"/>
    </row>
    <row r="47" spans="1:53" x14ac:dyDescent="0.25">
      <c r="A47" s="110"/>
      <c r="B47" s="111"/>
      <c r="C47" s="112"/>
      <c r="D47" s="111"/>
      <c r="E47" s="54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Arm1'!D47,Staff_Costs[[#All],[Role]],0),MATCH("Per-minute cost",Staff_Costs[#Headers],0))*'Per-Participant Activities Arm1'!C47)</f>
        <v>#N/A</v>
      </c>
      <c r="AJ47" s="117" t="e">
        <f t="shared" si="4"/>
        <v>#N/A</v>
      </c>
      <c r="AK47" s="117" t="e">
        <f t="shared" si="4"/>
        <v>#N/A</v>
      </c>
      <c r="AL47" s="117" t="e">
        <f t="shared" si="4"/>
        <v>#N/A</v>
      </c>
      <c r="AM47" s="117" t="e">
        <f t="shared" si="4"/>
        <v>#N/A</v>
      </c>
      <c r="AN47" s="117" t="e">
        <f t="shared" si="4"/>
        <v>#N/A</v>
      </c>
      <c r="AO47" s="107" t="e">
        <f t="shared" si="5"/>
        <v>#N/A</v>
      </c>
      <c r="AP47" s="18"/>
      <c r="AQ47" s="18"/>
      <c r="AR47" s="18"/>
      <c r="AS47" s="18"/>
      <c r="AT47" s="18"/>
      <c r="AU47" s="18"/>
      <c r="AV47" s="18"/>
      <c r="AW47" s="18"/>
      <c r="AX47" s="18"/>
      <c r="AY47" s="18"/>
      <c r="AZ47" s="18"/>
      <c r="BA47" s="18"/>
    </row>
    <row r="48" spans="1:53" x14ac:dyDescent="0.25">
      <c r="A48" s="110"/>
      <c r="B48" s="111"/>
      <c r="C48" s="112"/>
      <c r="D48" s="111"/>
      <c r="E48" s="54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Arm1'!D48,Staff_Costs[[#All],[Role]],0),MATCH("Per-minute cost",Staff_Costs[#Headers],0))*'Per-Participant Activities Arm1'!C48)</f>
        <v>#N/A</v>
      </c>
      <c r="AJ48" s="117" t="e">
        <f t="shared" si="4"/>
        <v>#N/A</v>
      </c>
      <c r="AK48" s="117" t="e">
        <f t="shared" si="4"/>
        <v>#N/A</v>
      </c>
      <c r="AL48" s="117" t="e">
        <f t="shared" si="4"/>
        <v>#N/A</v>
      </c>
      <c r="AM48" s="117" t="e">
        <f t="shared" si="4"/>
        <v>#N/A</v>
      </c>
      <c r="AN48" s="117" t="e">
        <f t="shared" si="4"/>
        <v>#N/A</v>
      </c>
      <c r="AO48" s="107" t="e">
        <f t="shared" si="5"/>
        <v>#N/A</v>
      </c>
      <c r="AP48" s="18"/>
      <c r="AQ48" s="18"/>
      <c r="AR48" s="18"/>
      <c r="AS48" s="18"/>
      <c r="AT48" s="18"/>
      <c r="AU48" s="18"/>
      <c r="AV48" s="18"/>
      <c r="AW48" s="18"/>
      <c r="AX48" s="18"/>
      <c r="AY48" s="18"/>
      <c r="AZ48" s="18"/>
      <c r="BA48" s="18"/>
    </row>
    <row r="49" spans="1:53" x14ac:dyDescent="0.25">
      <c r="A49" s="110"/>
      <c r="B49" s="111"/>
      <c r="C49" s="112"/>
      <c r="D49" s="111"/>
      <c r="E49" s="54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Arm1'!D49,Staff_Costs[[#All],[Role]],0),MATCH("Per-minute cost",Staff_Costs[#Headers],0))*'Per-Participant Activities Arm1'!C49)</f>
        <v>#N/A</v>
      </c>
      <c r="AJ49" s="117" t="e">
        <f t="shared" si="4"/>
        <v>#N/A</v>
      </c>
      <c r="AK49" s="117" t="e">
        <f t="shared" si="4"/>
        <v>#N/A</v>
      </c>
      <c r="AL49" s="117" t="e">
        <f t="shared" si="4"/>
        <v>#N/A</v>
      </c>
      <c r="AM49" s="117" t="e">
        <f t="shared" si="4"/>
        <v>#N/A</v>
      </c>
      <c r="AN49" s="117" t="e">
        <f t="shared" si="4"/>
        <v>#N/A</v>
      </c>
      <c r="AO49" s="107" t="e">
        <f t="shared" si="5"/>
        <v>#N/A</v>
      </c>
      <c r="AP49" s="18"/>
      <c r="AQ49" s="18"/>
      <c r="AR49" s="18"/>
      <c r="AS49" s="18"/>
      <c r="AT49" s="18"/>
      <c r="AU49" s="18"/>
      <c r="AV49" s="18"/>
      <c r="AW49" s="18"/>
      <c r="AX49" s="18"/>
      <c r="AY49" s="18"/>
      <c r="AZ49" s="18"/>
      <c r="BA49" s="18"/>
    </row>
    <row r="50" spans="1:53" x14ac:dyDescent="0.25">
      <c r="A50" s="110"/>
      <c r="B50" s="111"/>
      <c r="C50" s="112"/>
      <c r="D50" s="111"/>
      <c r="E50" s="54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Arm1'!D50,Staff_Costs[[#All],[Role]],0),MATCH("Per-minute cost",Staff_Costs[#Headers],0))*'Per-Participant Activities Arm1'!C50)</f>
        <v>#N/A</v>
      </c>
      <c r="AJ50" s="117" t="e">
        <f t="shared" ref="AJ50:AN63" si="6">COUNTIF($F50:$AH50, AJ$8)*$AI50</f>
        <v>#N/A</v>
      </c>
      <c r="AK50" s="117" t="e">
        <f t="shared" si="6"/>
        <v>#N/A</v>
      </c>
      <c r="AL50" s="117" t="e">
        <f t="shared" si="6"/>
        <v>#N/A</v>
      </c>
      <c r="AM50" s="117" t="e">
        <f t="shared" si="6"/>
        <v>#N/A</v>
      </c>
      <c r="AN50" s="117" t="e">
        <f t="shared" si="6"/>
        <v>#N/A</v>
      </c>
      <c r="AO50" s="107" t="e">
        <f t="shared" si="5"/>
        <v>#N/A</v>
      </c>
      <c r="AP50" s="18"/>
      <c r="AQ50" s="18"/>
      <c r="AR50" s="18"/>
      <c r="AS50" s="18"/>
      <c r="AT50" s="18"/>
      <c r="AU50" s="18"/>
      <c r="AV50" s="18"/>
      <c r="AW50" s="18"/>
      <c r="AX50" s="18"/>
      <c r="AY50" s="18"/>
      <c r="AZ50" s="18"/>
      <c r="BA50" s="18"/>
    </row>
    <row r="51" spans="1:53" x14ac:dyDescent="0.25">
      <c r="A51" s="110"/>
      <c r="B51" s="111"/>
      <c r="C51" s="112"/>
      <c r="D51" s="111"/>
      <c r="E51" s="54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Arm1'!D51,Staff_Costs[[#All],[Role]],0),MATCH("Per-minute cost",Staff_Costs[#Headers],0))*'Per-Participant Activities Arm1'!C51)</f>
        <v>#N/A</v>
      </c>
      <c r="AJ51" s="117" t="e">
        <f t="shared" si="6"/>
        <v>#N/A</v>
      </c>
      <c r="AK51" s="117" t="e">
        <f t="shared" si="6"/>
        <v>#N/A</v>
      </c>
      <c r="AL51" s="117" t="e">
        <f t="shared" si="6"/>
        <v>#N/A</v>
      </c>
      <c r="AM51" s="117" t="e">
        <f t="shared" si="6"/>
        <v>#N/A</v>
      </c>
      <c r="AN51" s="117" t="e">
        <f t="shared" si="6"/>
        <v>#N/A</v>
      </c>
      <c r="AO51" s="107" t="e">
        <f t="shared" si="5"/>
        <v>#N/A</v>
      </c>
      <c r="AP51" s="18"/>
      <c r="AQ51" s="18"/>
      <c r="AR51" s="18"/>
      <c r="AS51" s="18"/>
      <c r="AT51" s="18"/>
      <c r="AU51" s="18"/>
      <c r="AV51" s="18"/>
      <c r="AW51" s="18"/>
      <c r="AX51" s="18"/>
      <c r="AY51" s="18"/>
      <c r="AZ51" s="18"/>
      <c r="BA51" s="18"/>
    </row>
    <row r="52" spans="1:53" x14ac:dyDescent="0.25">
      <c r="A52" s="110"/>
      <c r="B52" s="111"/>
      <c r="C52" s="112"/>
      <c r="D52" s="111"/>
      <c r="E52" s="54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Arm1'!D52,Staff_Costs[[#All],[Role]],0),MATCH("Per-minute cost",Staff_Costs[#Headers],0))*'Per-Participant Activities Arm1'!C52)</f>
        <v>#N/A</v>
      </c>
      <c r="AJ52" s="117" t="e">
        <f t="shared" si="6"/>
        <v>#N/A</v>
      </c>
      <c r="AK52" s="117" t="e">
        <f t="shared" si="6"/>
        <v>#N/A</v>
      </c>
      <c r="AL52" s="117" t="e">
        <f t="shared" si="6"/>
        <v>#N/A</v>
      </c>
      <c r="AM52" s="117" t="e">
        <f t="shared" si="6"/>
        <v>#N/A</v>
      </c>
      <c r="AN52" s="117" t="e">
        <f t="shared" si="6"/>
        <v>#N/A</v>
      </c>
      <c r="AO52" s="107" t="e">
        <f t="shared" si="5"/>
        <v>#N/A</v>
      </c>
      <c r="AP52" s="18"/>
      <c r="AQ52" s="18"/>
      <c r="AR52" s="18"/>
      <c r="AS52" s="18"/>
      <c r="AT52" s="18"/>
      <c r="AU52" s="18"/>
      <c r="AV52" s="18"/>
      <c r="AW52" s="18"/>
      <c r="AX52" s="18"/>
      <c r="AY52" s="18"/>
      <c r="AZ52" s="18"/>
      <c r="BA52" s="18"/>
    </row>
    <row r="53" spans="1:53" x14ac:dyDescent="0.25">
      <c r="A53" s="110"/>
      <c r="B53" s="111"/>
      <c r="C53" s="112"/>
      <c r="D53" s="111"/>
      <c r="E53" s="54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Arm1'!D53,Staff_Costs[[#All],[Role]],0),MATCH("Per-minute cost",Staff_Costs[#Headers],0))*'Per-Participant Activities Arm1'!C53)</f>
        <v>#N/A</v>
      </c>
      <c r="AJ53" s="117" t="e">
        <f t="shared" si="6"/>
        <v>#N/A</v>
      </c>
      <c r="AK53" s="117" t="e">
        <f t="shared" si="6"/>
        <v>#N/A</v>
      </c>
      <c r="AL53" s="117" t="e">
        <f t="shared" si="6"/>
        <v>#N/A</v>
      </c>
      <c r="AM53" s="117" t="e">
        <f t="shared" si="6"/>
        <v>#N/A</v>
      </c>
      <c r="AN53" s="117" t="e">
        <f t="shared" si="6"/>
        <v>#N/A</v>
      </c>
      <c r="AO53" s="107" t="e">
        <f t="shared" si="5"/>
        <v>#N/A</v>
      </c>
      <c r="AP53" s="18"/>
      <c r="AQ53" s="18"/>
      <c r="AR53" s="18"/>
      <c r="AS53" s="18"/>
      <c r="AT53" s="18"/>
      <c r="AU53" s="18"/>
      <c r="AV53" s="18"/>
      <c r="AW53" s="18"/>
      <c r="AX53" s="18"/>
      <c r="AY53" s="18"/>
      <c r="AZ53" s="18"/>
      <c r="BA53" s="18"/>
    </row>
    <row r="54" spans="1:53" x14ac:dyDescent="0.25">
      <c r="A54" s="110"/>
      <c r="B54" s="111"/>
      <c r="C54" s="112"/>
      <c r="D54" s="111"/>
      <c r="E54" s="54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Arm1'!D54,Staff_Costs[[#All],[Role]],0),MATCH("Per-minute cost",Staff_Costs[#Headers],0))*'Per-Participant Activities Arm1'!C54)</f>
        <v>#N/A</v>
      </c>
      <c r="AJ54" s="117" t="e">
        <f t="shared" si="6"/>
        <v>#N/A</v>
      </c>
      <c r="AK54" s="117" t="e">
        <f t="shared" si="6"/>
        <v>#N/A</v>
      </c>
      <c r="AL54" s="117" t="e">
        <f t="shared" si="6"/>
        <v>#N/A</v>
      </c>
      <c r="AM54" s="117" t="e">
        <f t="shared" si="6"/>
        <v>#N/A</v>
      </c>
      <c r="AN54" s="117" t="e">
        <f t="shared" si="6"/>
        <v>#N/A</v>
      </c>
      <c r="AO54" s="107" t="e">
        <f t="shared" si="5"/>
        <v>#N/A</v>
      </c>
      <c r="AP54" s="18"/>
      <c r="AQ54" s="18"/>
      <c r="AR54" s="18"/>
      <c r="AS54" s="18"/>
      <c r="AT54" s="18"/>
      <c r="AU54" s="18"/>
      <c r="AV54" s="18"/>
      <c r="AW54" s="18"/>
      <c r="AX54" s="18"/>
      <c r="AY54" s="18"/>
      <c r="AZ54" s="18"/>
      <c r="BA54" s="18"/>
    </row>
    <row r="55" spans="1:53" x14ac:dyDescent="0.25">
      <c r="A55" s="110"/>
      <c r="B55" s="111"/>
      <c r="C55" s="112"/>
      <c r="D55" s="111"/>
      <c r="E55" s="54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Arm1'!D55,Staff_Costs[[#All],[Role]],0),MATCH("Per-minute cost",Staff_Costs[#Headers],0))*'Per-Participant Activities Arm1'!C55)</f>
        <v>#N/A</v>
      </c>
      <c r="AJ55" s="117" t="e">
        <f t="shared" si="6"/>
        <v>#N/A</v>
      </c>
      <c r="AK55" s="117" t="e">
        <f t="shared" si="6"/>
        <v>#N/A</v>
      </c>
      <c r="AL55" s="117" t="e">
        <f t="shared" si="6"/>
        <v>#N/A</v>
      </c>
      <c r="AM55" s="117" t="e">
        <f t="shared" si="6"/>
        <v>#N/A</v>
      </c>
      <c r="AN55" s="117" t="e">
        <f t="shared" si="6"/>
        <v>#N/A</v>
      </c>
      <c r="AO55" s="107" t="e">
        <f t="shared" si="5"/>
        <v>#N/A</v>
      </c>
      <c r="AP55" s="18"/>
      <c r="AQ55" s="18"/>
      <c r="AR55" s="18"/>
      <c r="AS55" s="18"/>
      <c r="AT55" s="18"/>
      <c r="AU55" s="18"/>
      <c r="AV55" s="18"/>
      <c r="AW55" s="18"/>
      <c r="AX55" s="18"/>
      <c r="AY55" s="18"/>
      <c r="AZ55" s="18"/>
      <c r="BA55" s="18"/>
    </row>
    <row r="56" spans="1:53" x14ac:dyDescent="0.25">
      <c r="A56" s="110"/>
      <c r="B56" s="111"/>
      <c r="C56" s="112"/>
      <c r="D56" s="111"/>
      <c r="E56" s="54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Arm1'!D56,Staff_Costs[[#All],[Role]],0),MATCH("Per-minute cost",Staff_Costs[#Headers],0))*'Per-Participant Activities Arm1'!C56)</f>
        <v>#N/A</v>
      </c>
      <c r="AJ56" s="117" t="e">
        <f t="shared" si="6"/>
        <v>#N/A</v>
      </c>
      <c r="AK56" s="117" t="e">
        <f t="shared" si="6"/>
        <v>#N/A</v>
      </c>
      <c r="AL56" s="117" t="e">
        <f t="shared" si="6"/>
        <v>#N/A</v>
      </c>
      <c r="AM56" s="117" t="e">
        <f t="shared" si="6"/>
        <v>#N/A</v>
      </c>
      <c r="AN56" s="117" t="e">
        <f t="shared" si="6"/>
        <v>#N/A</v>
      </c>
      <c r="AO56" s="107" t="e">
        <f t="shared" si="5"/>
        <v>#N/A</v>
      </c>
      <c r="AP56" s="18"/>
      <c r="AQ56" s="18"/>
      <c r="AR56" s="18"/>
      <c r="AS56" s="18"/>
      <c r="AT56" s="18"/>
      <c r="AU56" s="18"/>
      <c r="AV56" s="18"/>
      <c r="AW56" s="18"/>
      <c r="AX56" s="18"/>
      <c r="AY56" s="18"/>
      <c r="AZ56" s="18"/>
      <c r="BA56" s="18"/>
    </row>
    <row r="57" spans="1:53" x14ac:dyDescent="0.25">
      <c r="A57" s="110"/>
      <c r="B57" s="111"/>
      <c r="C57" s="112"/>
      <c r="D57" s="111"/>
      <c r="E57" s="54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Arm1'!D57,Staff_Costs[[#All],[Role]],0),MATCH("Per-minute cost",Staff_Costs[#Headers],0))*'Per-Participant Activities Arm1'!C57)</f>
        <v>#N/A</v>
      </c>
      <c r="AJ57" s="117" t="e">
        <f t="shared" si="6"/>
        <v>#N/A</v>
      </c>
      <c r="AK57" s="117" t="e">
        <f t="shared" si="6"/>
        <v>#N/A</v>
      </c>
      <c r="AL57" s="117" t="e">
        <f t="shared" si="6"/>
        <v>#N/A</v>
      </c>
      <c r="AM57" s="117" t="e">
        <f t="shared" si="6"/>
        <v>#N/A</v>
      </c>
      <c r="AN57" s="117" t="e">
        <f t="shared" si="6"/>
        <v>#N/A</v>
      </c>
      <c r="AO57" s="107" t="e">
        <f t="shared" si="5"/>
        <v>#N/A</v>
      </c>
      <c r="AP57" s="18"/>
      <c r="AQ57" s="18"/>
      <c r="AR57" s="18"/>
      <c r="AS57" s="18"/>
      <c r="AT57" s="18"/>
      <c r="AU57" s="18"/>
      <c r="AV57" s="18"/>
      <c r="AW57" s="18"/>
      <c r="AX57" s="18"/>
      <c r="AY57" s="18"/>
      <c r="AZ57" s="18"/>
      <c r="BA57" s="18"/>
    </row>
    <row r="58" spans="1:53" x14ac:dyDescent="0.25">
      <c r="A58" s="110"/>
      <c r="B58" s="111"/>
      <c r="C58" s="112"/>
      <c r="D58" s="111"/>
      <c r="E58" s="54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Arm1'!D58,Staff_Costs[[#All],[Role]],0),MATCH("Per-minute cost",Staff_Costs[#Headers],0))*'Per-Participant Activities Arm1'!C58)</f>
        <v>#N/A</v>
      </c>
      <c r="AJ58" s="117" t="e">
        <f t="shared" si="6"/>
        <v>#N/A</v>
      </c>
      <c r="AK58" s="117" t="e">
        <f t="shared" si="6"/>
        <v>#N/A</v>
      </c>
      <c r="AL58" s="117" t="e">
        <f t="shared" si="6"/>
        <v>#N/A</v>
      </c>
      <c r="AM58" s="117" t="e">
        <f t="shared" si="6"/>
        <v>#N/A</v>
      </c>
      <c r="AN58" s="117" t="e">
        <f t="shared" si="6"/>
        <v>#N/A</v>
      </c>
      <c r="AO58" s="107" t="e">
        <f t="shared" si="5"/>
        <v>#N/A</v>
      </c>
      <c r="AP58" s="18"/>
      <c r="AQ58" s="18"/>
      <c r="AR58" s="18"/>
      <c r="AS58" s="18"/>
      <c r="AT58" s="18"/>
      <c r="AU58" s="18"/>
      <c r="AV58" s="18"/>
      <c r="AW58" s="18"/>
      <c r="AX58" s="18"/>
      <c r="AY58" s="18"/>
      <c r="AZ58" s="18"/>
      <c r="BA58" s="18"/>
    </row>
    <row r="59" spans="1:53" x14ac:dyDescent="0.25">
      <c r="A59" s="110"/>
      <c r="B59" s="111"/>
      <c r="C59" s="112"/>
      <c r="D59" s="111"/>
      <c r="E59" s="54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Arm1'!D59,Staff_Costs[[#All],[Role]],0),MATCH("Per-minute cost",Staff_Costs[#Headers],0))*'Per-Participant Activities Arm1'!C59)</f>
        <v>#N/A</v>
      </c>
      <c r="AJ59" s="117" t="e">
        <f t="shared" si="6"/>
        <v>#N/A</v>
      </c>
      <c r="AK59" s="117" t="e">
        <f t="shared" si="6"/>
        <v>#N/A</v>
      </c>
      <c r="AL59" s="117" t="e">
        <f t="shared" si="6"/>
        <v>#N/A</v>
      </c>
      <c r="AM59" s="117" t="e">
        <f t="shared" si="6"/>
        <v>#N/A</v>
      </c>
      <c r="AN59" s="117" t="e">
        <f t="shared" si="6"/>
        <v>#N/A</v>
      </c>
      <c r="AO59" s="107" t="e">
        <f t="shared" si="5"/>
        <v>#N/A</v>
      </c>
      <c r="AP59" s="18"/>
      <c r="AQ59" s="18"/>
      <c r="AR59" s="18"/>
      <c r="AS59" s="18"/>
      <c r="AT59" s="18"/>
      <c r="AU59" s="18"/>
      <c r="AV59" s="18"/>
      <c r="AW59" s="18"/>
      <c r="AX59" s="18"/>
      <c r="AY59" s="18"/>
      <c r="AZ59" s="18"/>
      <c r="BA59" s="18"/>
    </row>
    <row r="60" spans="1:53" x14ac:dyDescent="0.25">
      <c r="A60" s="110"/>
      <c r="B60" s="111"/>
      <c r="C60" s="112"/>
      <c r="D60" s="111"/>
      <c r="E60" s="54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Arm1'!D60,Staff_Costs[[#All],[Role]],0),MATCH("Per-minute cost",Staff_Costs[#Headers],0))*'Per-Participant Activities Arm1'!C60)</f>
        <v>#N/A</v>
      </c>
      <c r="AJ60" s="117" t="e">
        <f t="shared" si="6"/>
        <v>#N/A</v>
      </c>
      <c r="AK60" s="117" t="e">
        <f t="shared" si="6"/>
        <v>#N/A</v>
      </c>
      <c r="AL60" s="117" t="e">
        <f t="shared" si="6"/>
        <v>#N/A</v>
      </c>
      <c r="AM60" s="117" t="e">
        <f t="shared" si="6"/>
        <v>#N/A</v>
      </c>
      <c r="AN60" s="117" t="e">
        <f t="shared" si="6"/>
        <v>#N/A</v>
      </c>
      <c r="AO60" s="107" t="e">
        <f t="shared" si="5"/>
        <v>#N/A</v>
      </c>
      <c r="AP60" s="18"/>
      <c r="AQ60" s="18"/>
      <c r="AR60" s="18"/>
      <c r="AS60" s="18"/>
      <c r="AT60" s="18"/>
      <c r="AU60" s="18"/>
      <c r="AV60" s="18"/>
      <c r="AW60" s="18"/>
      <c r="AX60" s="18"/>
      <c r="AY60" s="18"/>
      <c r="AZ60" s="18"/>
      <c r="BA60" s="18"/>
    </row>
    <row r="61" spans="1:53" x14ac:dyDescent="0.25">
      <c r="A61" s="110"/>
      <c r="B61" s="111"/>
      <c r="C61" s="112"/>
      <c r="D61" s="111"/>
      <c r="E61" s="54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Arm1'!D61,Staff_Costs[[#All],[Role]],0),MATCH("Per-minute cost",Staff_Costs[#Headers],0))*'Per-Participant Activities Arm1'!C61)</f>
        <v>#N/A</v>
      </c>
      <c r="AJ61" s="117" t="e">
        <f t="shared" si="6"/>
        <v>#N/A</v>
      </c>
      <c r="AK61" s="117" t="e">
        <f t="shared" si="6"/>
        <v>#N/A</v>
      </c>
      <c r="AL61" s="117" t="e">
        <f t="shared" si="6"/>
        <v>#N/A</v>
      </c>
      <c r="AM61" s="117" t="e">
        <f t="shared" si="6"/>
        <v>#N/A</v>
      </c>
      <c r="AN61" s="117" t="e">
        <f t="shared" si="6"/>
        <v>#N/A</v>
      </c>
      <c r="AO61" s="107" t="e">
        <f t="shared" si="5"/>
        <v>#N/A</v>
      </c>
      <c r="AP61" s="18"/>
      <c r="AQ61" s="18"/>
      <c r="AR61" s="18"/>
      <c r="AS61" s="18"/>
      <c r="AT61" s="18"/>
      <c r="AU61" s="18"/>
      <c r="AV61" s="18"/>
      <c r="AW61" s="18"/>
      <c r="AX61" s="18"/>
      <c r="AY61" s="18"/>
      <c r="AZ61" s="18"/>
      <c r="BA61" s="18"/>
    </row>
    <row r="62" spans="1:53" x14ac:dyDescent="0.25">
      <c r="A62" s="110"/>
      <c r="B62" s="111"/>
      <c r="C62" s="112"/>
      <c r="D62" s="111"/>
      <c r="E62" s="54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Arm1'!D62,Staff_Costs[[#All],[Role]],0),MATCH("Per-minute cost",Staff_Costs[#Headers],0))*'Per-Participant Activities Arm1'!C62)</f>
        <v>#N/A</v>
      </c>
      <c r="AJ62" s="117" t="e">
        <f t="shared" si="6"/>
        <v>#N/A</v>
      </c>
      <c r="AK62" s="117" t="e">
        <f t="shared" si="6"/>
        <v>#N/A</v>
      </c>
      <c r="AL62" s="117" t="e">
        <f t="shared" si="6"/>
        <v>#N/A</v>
      </c>
      <c r="AM62" s="117" t="e">
        <f t="shared" si="6"/>
        <v>#N/A</v>
      </c>
      <c r="AN62" s="117" t="e">
        <f t="shared" si="6"/>
        <v>#N/A</v>
      </c>
      <c r="AO62" s="107" t="e">
        <f t="shared" si="5"/>
        <v>#N/A</v>
      </c>
      <c r="AP62" s="18"/>
      <c r="AQ62" s="18"/>
      <c r="AR62" s="18"/>
      <c r="AS62" s="18"/>
      <c r="AT62" s="18"/>
      <c r="AU62" s="18"/>
      <c r="AV62" s="18"/>
      <c r="AW62" s="18"/>
      <c r="AX62" s="18"/>
      <c r="AY62" s="18"/>
      <c r="AZ62" s="18"/>
      <c r="BA62" s="18"/>
    </row>
    <row r="63" spans="1:53" x14ac:dyDescent="0.25">
      <c r="A63" s="110"/>
      <c r="B63" s="111"/>
      <c r="C63" s="112"/>
      <c r="D63" s="111"/>
      <c r="E63" s="54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Arm1'!D63,Staff_Costs[[#All],[Role]],0),MATCH("Per-minute cost",Staff_Costs[#Headers],0))*'Per-Participant Activities Arm1'!C63)</f>
        <v>#N/A</v>
      </c>
      <c r="AJ63" s="117" t="e">
        <f t="shared" si="6"/>
        <v>#N/A</v>
      </c>
      <c r="AK63" s="117" t="e">
        <f t="shared" si="6"/>
        <v>#N/A</v>
      </c>
      <c r="AL63" s="117" t="e">
        <f t="shared" si="6"/>
        <v>#N/A</v>
      </c>
      <c r="AM63" s="117" t="e">
        <f t="shared" si="6"/>
        <v>#N/A</v>
      </c>
      <c r="AN63" s="117" t="e">
        <f t="shared" si="6"/>
        <v>#N/A</v>
      </c>
      <c r="AO63" s="107" t="e">
        <f t="shared" si="5"/>
        <v>#N/A</v>
      </c>
      <c r="AP63" s="18"/>
      <c r="AQ63" s="18"/>
      <c r="AR63" s="18"/>
      <c r="AS63" s="18"/>
      <c r="AT63" s="18"/>
      <c r="AU63" s="18"/>
      <c r="AV63" s="18"/>
      <c r="AW63" s="18"/>
      <c r="AX63" s="18"/>
      <c r="AY63" s="18"/>
      <c r="AZ63" s="18"/>
      <c r="BA63" s="18"/>
    </row>
    <row r="64" spans="1:53" x14ac:dyDescent="0.25">
      <c r="A64" s="110"/>
      <c r="B64" s="111"/>
      <c r="C64" s="112"/>
      <c r="D64" s="111"/>
      <c r="E64" s="545"/>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5"/>
      <c r="AI64" s="116" t="e">
        <f>IF(INDEX(TARIFF_TABLE[#All], MATCH($B64,TARIFF_TABLE[[#All],[Activity]],0),MATCH("ActivityType",TARIFF_TABLE[#Headers]))="Investigation",INDEX(TARIFF_TABLE[#All], MATCH($B64,TARIFF_TABLE[[#All],[Activity]],0),MATCH("Cost",TARIFF_TABLE[#Headers],0)),INDEX(Staff_Costs[#All],MATCH('Per-Participant Activities Arm1'!D64,Staff_Costs[[#All],[Role]],0),MATCH("Per-minute cost",Staff_Costs[#Headers],0))*'Per-Participant Activities Arm1'!C64)</f>
        <v>#N/A</v>
      </c>
      <c r="AJ64" s="475" t="e">
        <f t="shared" ref="AJ64:AJ110" si="7">COUNTIF($F64:$AG64, AJ$8)*$AI64</f>
        <v>#N/A</v>
      </c>
      <c r="AK64" s="475" t="e">
        <f t="shared" ref="AK64:AK110" si="8">COUNTIF($F64:$AG64, AK$8)*$AI64</f>
        <v>#N/A</v>
      </c>
      <c r="AL64" s="475" t="e">
        <f t="shared" ref="AL64:AL110" si="9">COUNTIF($F64:$AG64, AL$8)*$AI64</f>
        <v>#N/A</v>
      </c>
      <c r="AM64" s="475" t="e">
        <f t="shared" ref="AM64:AM110" si="10">COUNTIF($F64:$AG64, AM$8)*$AI64</f>
        <v>#N/A</v>
      </c>
      <c r="AN64" s="475" t="e">
        <f t="shared" ref="AN64:AN110" si="11">COUNTIF($F64:$AG64, AN$8)*$AI64</f>
        <v>#N/A</v>
      </c>
      <c r="AO64" s="475" t="e">
        <f>INDEX('Tariff (hidden)'!$B$4:$B$133,MATCH(B64,'Tariff (hidden)'!$A$4:$A$133,0))</f>
        <v>#N/A</v>
      </c>
      <c r="AP64" s="18"/>
      <c r="AQ64" s="18"/>
      <c r="AR64" s="18"/>
      <c r="AS64" s="18"/>
      <c r="AT64" s="18"/>
      <c r="AU64" s="18"/>
      <c r="AV64" s="18"/>
      <c r="AW64" s="18"/>
      <c r="AX64" s="18"/>
      <c r="AY64" s="18"/>
      <c r="AZ64" s="18"/>
      <c r="BA64" s="18"/>
    </row>
    <row r="65" spans="1:41" x14ac:dyDescent="0.25">
      <c r="A65" s="110"/>
      <c r="B65" s="111"/>
      <c r="C65" s="112"/>
      <c r="D65" s="111"/>
      <c r="E65" s="545"/>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5"/>
      <c r="AI65" s="116" t="e">
        <f>IF(INDEX(TARIFF_TABLE[#All], MATCH($B65,TARIFF_TABLE[[#All],[Activity]],0),MATCH("ActivityType",TARIFF_TABLE[#Headers]))="Investigation",INDEX(TARIFF_TABLE[#All], MATCH($B65,TARIFF_TABLE[[#All],[Activity]],0),MATCH("Cost",TARIFF_TABLE[#Headers],0)),INDEX(Staff_Costs[#All],MATCH('Per-Participant Activities Arm1'!D65,Staff_Costs[[#All],[Role]],0),MATCH("Per-minute cost",Staff_Costs[#Headers],0))*'Per-Participant Activities Arm1'!C65)</f>
        <v>#N/A</v>
      </c>
      <c r="AJ65" s="475" t="e">
        <f t="shared" si="7"/>
        <v>#N/A</v>
      </c>
      <c r="AK65" s="475" t="e">
        <f t="shared" si="8"/>
        <v>#N/A</v>
      </c>
      <c r="AL65" s="475" t="e">
        <f t="shared" si="9"/>
        <v>#N/A</v>
      </c>
      <c r="AM65" s="475" t="e">
        <f t="shared" si="10"/>
        <v>#N/A</v>
      </c>
      <c r="AN65" s="475" t="e">
        <f t="shared" si="11"/>
        <v>#N/A</v>
      </c>
      <c r="AO65" s="475" t="e">
        <f>INDEX('Tariff (hidden)'!$B$4:$B$133,MATCH(B65,'Tariff (hidden)'!$A$4:$A$133,0))</f>
        <v>#N/A</v>
      </c>
    </row>
    <row r="66" spans="1:41" x14ac:dyDescent="0.25">
      <c r="A66" s="110"/>
      <c r="B66" s="111"/>
      <c r="C66" s="112"/>
      <c r="D66" s="111"/>
      <c r="E66" s="545"/>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5"/>
      <c r="AI66" s="116" t="e">
        <f>IF(INDEX(TARIFF_TABLE[#All], MATCH($B66,TARIFF_TABLE[[#All],[Activity]],0),MATCH("ActivityType",TARIFF_TABLE[#Headers]))="Investigation",INDEX(TARIFF_TABLE[#All], MATCH($B66,TARIFF_TABLE[[#All],[Activity]],0),MATCH("Cost",TARIFF_TABLE[#Headers],0)),INDEX(Staff_Costs[#All],MATCH('Per-Participant Activities Arm1'!D66,Staff_Costs[[#All],[Role]],0),MATCH("Per-minute cost",Staff_Costs[#Headers],0))*'Per-Participant Activities Arm1'!C66)</f>
        <v>#N/A</v>
      </c>
      <c r="AJ66" s="475" t="e">
        <f t="shared" si="7"/>
        <v>#N/A</v>
      </c>
      <c r="AK66" s="475" t="e">
        <f t="shared" si="8"/>
        <v>#N/A</v>
      </c>
      <c r="AL66" s="475" t="e">
        <f t="shared" si="9"/>
        <v>#N/A</v>
      </c>
      <c r="AM66" s="475" t="e">
        <f t="shared" si="10"/>
        <v>#N/A</v>
      </c>
      <c r="AN66" s="475" t="e">
        <f t="shared" si="11"/>
        <v>#N/A</v>
      </c>
      <c r="AO66" s="475" t="e">
        <f>INDEX('Tariff (hidden)'!$B$4:$B$133,MATCH(B66,'Tariff (hidden)'!$A$4:$A$133,0))</f>
        <v>#N/A</v>
      </c>
    </row>
    <row r="67" spans="1:41" x14ac:dyDescent="0.25">
      <c r="A67" s="110"/>
      <c r="B67" s="111"/>
      <c r="C67" s="112"/>
      <c r="D67" s="111"/>
      <c r="E67" s="545"/>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5"/>
      <c r="AI67" s="116" t="e">
        <f>IF(INDEX(TARIFF_TABLE[#All], MATCH($B67,TARIFF_TABLE[[#All],[Activity]],0),MATCH("ActivityType",TARIFF_TABLE[#Headers]))="Investigation",INDEX(TARIFF_TABLE[#All], MATCH($B67,TARIFF_TABLE[[#All],[Activity]],0),MATCH("Cost",TARIFF_TABLE[#Headers],0)),INDEX(Staff_Costs[#All],MATCH('Per-Participant Activities Arm1'!D67,Staff_Costs[[#All],[Role]],0),MATCH("Per-minute cost",Staff_Costs[#Headers],0))*'Per-Participant Activities Arm1'!C67)</f>
        <v>#N/A</v>
      </c>
      <c r="AJ67" s="475" t="e">
        <f t="shared" si="7"/>
        <v>#N/A</v>
      </c>
      <c r="AK67" s="475" t="e">
        <f t="shared" si="8"/>
        <v>#N/A</v>
      </c>
      <c r="AL67" s="475" t="e">
        <f t="shared" si="9"/>
        <v>#N/A</v>
      </c>
      <c r="AM67" s="475" t="e">
        <f t="shared" si="10"/>
        <v>#N/A</v>
      </c>
      <c r="AN67" s="475" t="e">
        <f t="shared" si="11"/>
        <v>#N/A</v>
      </c>
      <c r="AO67" s="475" t="e">
        <f>INDEX('Tariff (hidden)'!$B$4:$B$133,MATCH(B67,'Tariff (hidden)'!$A$4:$A$133,0))</f>
        <v>#N/A</v>
      </c>
    </row>
    <row r="68" spans="1:41" x14ac:dyDescent="0.25">
      <c r="A68" s="110"/>
      <c r="B68" s="111"/>
      <c r="C68" s="112"/>
      <c r="D68" s="111"/>
      <c r="E68" s="545"/>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5"/>
      <c r="AI68" s="116" t="e">
        <f>IF(INDEX(TARIFF_TABLE[#All], MATCH($B68,TARIFF_TABLE[[#All],[Activity]],0),MATCH("ActivityType",TARIFF_TABLE[#Headers]))="Investigation",INDEX(TARIFF_TABLE[#All], MATCH($B68,TARIFF_TABLE[[#All],[Activity]],0),MATCH("Cost",TARIFF_TABLE[#Headers],0)),INDEX(Staff_Costs[#All],MATCH('Per-Participant Activities Arm1'!D68,Staff_Costs[[#All],[Role]],0),MATCH("Per-minute cost",Staff_Costs[#Headers],0))*'Per-Participant Activities Arm1'!C68)</f>
        <v>#N/A</v>
      </c>
      <c r="AJ68" s="475" t="e">
        <f t="shared" si="7"/>
        <v>#N/A</v>
      </c>
      <c r="AK68" s="475" t="e">
        <f t="shared" si="8"/>
        <v>#N/A</v>
      </c>
      <c r="AL68" s="475" t="e">
        <f t="shared" si="9"/>
        <v>#N/A</v>
      </c>
      <c r="AM68" s="475" t="e">
        <f t="shared" si="10"/>
        <v>#N/A</v>
      </c>
      <c r="AN68" s="475" t="e">
        <f t="shared" si="11"/>
        <v>#N/A</v>
      </c>
      <c r="AO68" s="475" t="e">
        <f>INDEX('Tariff (hidden)'!$B$4:$B$133,MATCH(B68,'Tariff (hidden)'!$A$4:$A$133,0))</f>
        <v>#N/A</v>
      </c>
    </row>
    <row r="69" spans="1:41" x14ac:dyDescent="0.25">
      <c r="A69" s="110"/>
      <c r="B69" s="111"/>
      <c r="C69" s="112"/>
      <c r="D69" s="111"/>
      <c r="E69" s="545"/>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5"/>
      <c r="AI69" s="116" t="e">
        <f>IF(INDEX(TARIFF_TABLE[#All], MATCH($B69,TARIFF_TABLE[[#All],[Activity]],0),MATCH("ActivityType",TARIFF_TABLE[#Headers]))="Investigation",INDEX(TARIFF_TABLE[#All], MATCH($B69,TARIFF_TABLE[[#All],[Activity]],0),MATCH("Cost",TARIFF_TABLE[#Headers],0)),INDEX(Staff_Costs[#All],MATCH('Per-Participant Activities Arm1'!D69,Staff_Costs[[#All],[Role]],0),MATCH("Per-minute cost",Staff_Costs[#Headers],0))*'Per-Participant Activities Arm1'!C69)</f>
        <v>#N/A</v>
      </c>
      <c r="AJ69" s="475" t="e">
        <f t="shared" si="7"/>
        <v>#N/A</v>
      </c>
      <c r="AK69" s="475" t="e">
        <f t="shared" si="8"/>
        <v>#N/A</v>
      </c>
      <c r="AL69" s="475" t="e">
        <f t="shared" si="9"/>
        <v>#N/A</v>
      </c>
      <c r="AM69" s="475" t="e">
        <f t="shared" si="10"/>
        <v>#N/A</v>
      </c>
      <c r="AN69" s="475" t="e">
        <f t="shared" si="11"/>
        <v>#N/A</v>
      </c>
      <c r="AO69" s="475" t="e">
        <f>INDEX('Tariff (hidden)'!$B$4:$B$133,MATCH(B69,'Tariff (hidden)'!$A$4:$A$133,0))</f>
        <v>#N/A</v>
      </c>
    </row>
    <row r="70" spans="1:41" x14ac:dyDescent="0.25">
      <c r="A70" s="110"/>
      <c r="B70" s="111"/>
      <c r="C70" s="112"/>
      <c r="D70" s="111"/>
      <c r="E70" s="545"/>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5"/>
      <c r="AI70" s="116" t="e">
        <f>IF(INDEX(TARIFF_TABLE[#All], MATCH($B70,TARIFF_TABLE[[#All],[Activity]],0),MATCH("ActivityType",TARIFF_TABLE[#Headers]))="Investigation",INDEX(TARIFF_TABLE[#All], MATCH($B70,TARIFF_TABLE[[#All],[Activity]],0),MATCH("Cost",TARIFF_TABLE[#Headers],0)),INDEX(Staff_Costs[#All],MATCH('Per-Participant Activities Arm1'!D70,Staff_Costs[[#All],[Role]],0),MATCH("Per-minute cost",Staff_Costs[#Headers],0))*'Per-Participant Activities Arm1'!C70)</f>
        <v>#N/A</v>
      </c>
      <c r="AJ70" s="475" t="e">
        <f t="shared" si="7"/>
        <v>#N/A</v>
      </c>
      <c r="AK70" s="475" t="e">
        <f t="shared" si="8"/>
        <v>#N/A</v>
      </c>
      <c r="AL70" s="475" t="e">
        <f t="shared" si="9"/>
        <v>#N/A</v>
      </c>
      <c r="AM70" s="475" t="e">
        <f t="shared" si="10"/>
        <v>#N/A</v>
      </c>
      <c r="AN70" s="475" t="e">
        <f t="shared" si="11"/>
        <v>#N/A</v>
      </c>
      <c r="AO70" s="475" t="e">
        <f>INDEX('Tariff (hidden)'!$B$4:$B$133,MATCH(B70,'Tariff (hidden)'!$A$4:$A$133,0))</f>
        <v>#N/A</v>
      </c>
    </row>
    <row r="71" spans="1:41" x14ac:dyDescent="0.25">
      <c r="A71" s="110"/>
      <c r="B71" s="111"/>
      <c r="C71" s="112"/>
      <c r="D71" s="111"/>
      <c r="E71" s="545"/>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5"/>
      <c r="AI71" s="116" t="e">
        <f>IF(INDEX(TARIFF_TABLE[#All], MATCH($B71,TARIFF_TABLE[[#All],[Activity]],0),MATCH("ActivityType",TARIFF_TABLE[#Headers]))="Investigation",INDEX(TARIFF_TABLE[#All], MATCH($B71,TARIFF_TABLE[[#All],[Activity]],0),MATCH("Cost",TARIFF_TABLE[#Headers],0)),INDEX(Staff_Costs[#All],MATCH('Per-Participant Activities Arm1'!D71,Staff_Costs[[#All],[Role]],0),MATCH("Per-minute cost",Staff_Costs[#Headers],0))*'Per-Participant Activities Arm1'!C71)</f>
        <v>#N/A</v>
      </c>
      <c r="AJ71" s="475" t="e">
        <f t="shared" si="7"/>
        <v>#N/A</v>
      </c>
      <c r="AK71" s="475" t="e">
        <f t="shared" si="8"/>
        <v>#N/A</v>
      </c>
      <c r="AL71" s="475" t="e">
        <f t="shared" si="9"/>
        <v>#N/A</v>
      </c>
      <c r="AM71" s="475" t="e">
        <f t="shared" si="10"/>
        <v>#N/A</v>
      </c>
      <c r="AN71" s="475" t="e">
        <f t="shared" si="11"/>
        <v>#N/A</v>
      </c>
      <c r="AO71" s="475" t="e">
        <f>INDEX('Tariff (hidden)'!$B$4:$B$133,MATCH(B71,'Tariff (hidden)'!$A$4:$A$133,0))</f>
        <v>#N/A</v>
      </c>
    </row>
    <row r="72" spans="1:41" x14ac:dyDescent="0.25">
      <c r="A72" s="110"/>
      <c r="B72" s="111"/>
      <c r="C72" s="112"/>
      <c r="D72" s="111"/>
      <c r="E72" s="545"/>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5"/>
      <c r="AI72" s="116" t="e">
        <f>IF(INDEX(TARIFF_TABLE[#All], MATCH($B72,TARIFF_TABLE[[#All],[Activity]],0),MATCH("ActivityType",TARIFF_TABLE[#Headers]))="Investigation",INDEX(TARIFF_TABLE[#All], MATCH($B72,TARIFF_TABLE[[#All],[Activity]],0),MATCH("Cost",TARIFF_TABLE[#Headers],0)),INDEX(Staff_Costs[#All],MATCH('Per-Participant Activities Arm1'!D72,Staff_Costs[[#All],[Role]],0),MATCH("Per-minute cost",Staff_Costs[#Headers],0))*'Per-Participant Activities Arm1'!C72)</f>
        <v>#N/A</v>
      </c>
      <c r="AJ72" s="475" t="e">
        <f t="shared" si="7"/>
        <v>#N/A</v>
      </c>
      <c r="AK72" s="475" t="e">
        <f t="shared" si="8"/>
        <v>#N/A</v>
      </c>
      <c r="AL72" s="475" t="e">
        <f t="shared" si="9"/>
        <v>#N/A</v>
      </c>
      <c r="AM72" s="475" t="e">
        <f t="shared" si="10"/>
        <v>#N/A</v>
      </c>
      <c r="AN72" s="475" t="e">
        <f t="shared" si="11"/>
        <v>#N/A</v>
      </c>
      <c r="AO72" s="475" t="e">
        <f>INDEX('Tariff (hidden)'!$B$4:$B$133,MATCH(B72,'Tariff (hidden)'!$A$4:$A$133,0))</f>
        <v>#N/A</v>
      </c>
    </row>
    <row r="73" spans="1:41" x14ac:dyDescent="0.25">
      <c r="A73" s="110"/>
      <c r="B73" s="111"/>
      <c r="C73" s="112"/>
      <c r="D73" s="111"/>
      <c r="E73" s="545"/>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5"/>
      <c r="AI73" s="116" t="e">
        <f>IF(INDEX(TARIFF_TABLE[#All], MATCH($B73,TARIFF_TABLE[[#All],[Activity]],0),MATCH("ActivityType",TARIFF_TABLE[#Headers]))="Investigation",INDEX(TARIFF_TABLE[#All], MATCH($B73,TARIFF_TABLE[[#All],[Activity]],0),MATCH("Cost",TARIFF_TABLE[#Headers],0)),INDEX(Staff_Costs[#All],MATCH('Per-Participant Activities Arm1'!D73,Staff_Costs[[#All],[Role]],0),MATCH("Per-minute cost",Staff_Costs[#Headers],0))*'Per-Participant Activities Arm1'!C73)</f>
        <v>#N/A</v>
      </c>
      <c r="AJ73" s="475" t="e">
        <f t="shared" si="7"/>
        <v>#N/A</v>
      </c>
      <c r="AK73" s="475" t="e">
        <f t="shared" si="8"/>
        <v>#N/A</v>
      </c>
      <c r="AL73" s="475" t="e">
        <f t="shared" si="9"/>
        <v>#N/A</v>
      </c>
      <c r="AM73" s="475" t="e">
        <f t="shared" si="10"/>
        <v>#N/A</v>
      </c>
      <c r="AN73" s="475" t="e">
        <f t="shared" si="11"/>
        <v>#N/A</v>
      </c>
      <c r="AO73" s="475" t="e">
        <f>INDEX('Tariff (hidden)'!$B$4:$B$133,MATCH(B73,'Tariff (hidden)'!$A$4:$A$133,0))</f>
        <v>#N/A</v>
      </c>
    </row>
    <row r="74" spans="1:41" x14ac:dyDescent="0.25">
      <c r="A74" s="110"/>
      <c r="B74" s="111"/>
      <c r="C74" s="112"/>
      <c r="D74" s="111"/>
      <c r="E74" s="545"/>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5"/>
      <c r="AI74" s="116" t="e">
        <f>IF(INDEX(TARIFF_TABLE[#All], MATCH($B74,TARIFF_TABLE[[#All],[Activity]],0),MATCH("ActivityType",TARIFF_TABLE[#Headers]))="Investigation",INDEX(TARIFF_TABLE[#All], MATCH($B74,TARIFF_TABLE[[#All],[Activity]],0),MATCH("Cost",TARIFF_TABLE[#Headers],0)),INDEX(Staff_Costs[#All],MATCH('Per-Participant Activities Arm1'!D74,Staff_Costs[[#All],[Role]],0),MATCH("Per-minute cost",Staff_Costs[#Headers],0))*'Per-Participant Activities Arm1'!C74)</f>
        <v>#N/A</v>
      </c>
      <c r="AJ74" s="475" t="e">
        <f t="shared" si="7"/>
        <v>#N/A</v>
      </c>
      <c r="AK74" s="475" t="e">
        <f t="shared" si="8"/>
        <v>#N/A</v>
      </c>
      <c r="AL74" s="475" t="e">
        <f t="shared" si="9"/>
        <v>#N/A</v>
      </c>
      <c r="AM74" s="475" t="e">
        <f t="shared" si="10"/>
        <v>#N/A</v>
      </c>
      <c r="AN74" s="475" t="e">
        <f t="shared" si="11"/>
        <v>#N/A</v>
      </c>
      <c r="AO74" s="475" t="e">
        <f>INDEX('Tariff (hidden)'!$B$4:$B$133,MATCH(B74,'Tariff (hidden)'!$A$4:$A$133,0))</f>
        <v>#N/A</v>
      </c>
    </row>
    <row r="75" spans="1:41" x14ac:dyDescent="0.25">
      <c r="A75" s="110"/>
      <c r="B75" s="111"/>
      <c r="C75" s="112"/>
      <c r="D75" s="111"/>
      <c r="E75" s="545"/>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5"/>
      <c r="AI75" s="116" t="e">
        <f>IF(INDEX(TARIFF_TABLE[#All], MATCH($B75,TARIFF_TABLE[[#All],[Activity]],0),MATCH("ActivityType",TARIFF_TABLE[#Headers]))="Investigation",INDEX(TARIFF_TABLE[#All], MATCH($B75,TARIFF_TABLE[[#All],[Activity]],0),MATCH("Cost",TARIFF_TABLE[#Headers],0)),INDEX(Staff_Costs[#All],MATCH('Per-Participant Activities Arm1'!D75,Staff_Costs[[#All],[Role]],0),MATCH("Per-minute cost",Staff_Costs[#Headers],0))*'Per-Participant Activities Arm1'!C75)</f>
        <v>#N/A</v>
      </c>
      <c r="AJ75" s="475" t="e">
        <f t="shared" si="7"/>
        <v>#N/A</v>
      </c>
      <c r="AK75" s="475" t="e">
        <f t="shared" si="8"/>
        <v>#N/A</v>
      </c>
      <c r="AL75" s="475" t="e">
        <f t="shared" si="9"/>
        <v>#N/A</v>
      </c>
      <c r="AM75" s="475" t="e">
        <f t="shared" si="10"/>
        <v>#N/A</v>
      </c>
      <c r="AN75" s="475" t="e">
        <f t="shared" si="11"/>
        <v>#N/A</v>
      </c>
      <c r="AO75" s="475" t="e">
        <f>INDEX('Tariff (hidden)'!$B$4:$B$133,MATCH(B75,'Tariff (hidden)'!$A$4:$A$133,0))</f>
        <v>#N/A</v>
      </c>
    </row>
    <row r="76" spans="1:41" x14ac:dyDescent="0.25">
      <c r="A76" s="110"/>
      <c r="B76" s="111"/>
      <c r="C76" s="112"/>
      <c r="D76" s="111"/>
      <c r="E76" s="545"/>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5"/>
      <c r="AI76" s="116" t="e">
        <f>IF(INDEX(TARIFF_TABLE[#All], MATCH($B76,TARIFF_TABLE[[#All],[Activity]],0),MATCH("ActivityType",TARIFF_TABLE[#Headers]))="Investigation",INDEX(TARIFF_TABLE[#All], MATCH($B76,TARIFF_TABLE[[#All],[Activity]],0),MATCH("Cost",TARIFF_TABLE[#Headers],0)),INDEX(Staff_Costs[#All],MATCH('Per-Participant Activities Arm1'!D76,Staff_Costs[[#All],[Role]],0),MATCH("Per-minute cost",Staff_Costs[#Headers],0))*'Per-Participant Activities Arm1'!C76)</f>
        <v>#N/A</v>
      </c>
      <c r="AJ76" s="475" t="e">
        <f t="shared" si="7"/>
        <v>#N/A</v>
      </c>
      <c r="AK76" s="475" t="e">
        <f t="shared" si="8"/>
        <v>#N/A</v>
      </c>
      <c r="AL76" s="475" t="e">
        <f t="shared" si="9"/>
        <v>#N/A</v>
      </c>
      <c r="AM76" s="475" t="e">
        <f t="shared" si="10"/>
        <v>#N/A</v>
      </c>
      <c r="AN76" s="475" t="e">
        <f t="shared" si="11"/>
        <v>#N/A</v>
      </c>
      <c r="AO76" s="475" t="e">
        <f>INDEX('Tariff (hidden)'!$B$4:$B$133,MATCH(B76,'Tariff (hidden)'!$A$4:$A$133,0))</f>
        <v>#N/A</v>
      </c>
    </row>
    <row r="77" spans="1:41" x14ac:dyDescent="0.25">
      <c r="A77" s="110"/>
      <c r="B77" s="111"/>
      <c r="C77" s="112"/>
      <c r="D77" s="111"/>
      <c r="E77" s="545"/>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5"/>
      <c r="AI77" s="116" t="e">
        <f>IF(INDEX(TARIFF_TABLE[#All], MATCH($B77,TARIFF_TABLE[[#All],[Activity]],0),MATCH("ActivityType",TARIFF_TABLE[#Headers]))="Investigation",INDEX(TARIFF_TABLE[#All], MATCH($B77,TARIFF_TABLE[[#All],[Activity]],0),MATCH("Cost",TARIFF_TABLE[#Headers],0)),INDEX(Staff_Costs[#All],MATCH('Per-Participant Activities Arm1'!D77,Staff_Costs[[#All],[Role]],0),MATCH("Per-minute cost",Staff_Costs[#Headers],0))*'Per-Participant Activities Arm1'!C77)</f>
        <v>#N/A</v>
      </c>
      <c r="AJ77" s="475" t="e">
        <f t="shared" si="7"/>
        <v>#N/A</v>
      </c>
      <c r="AK77" s="475" t="e">
        <f t="shared" si="8"/>
        <v>#N/A</v>
      </c>
      <c r="AL77" s="475" t="e">
        <f t="shared" si="9"/>
        <v>#N/A</v>
      </c>
      <c r="AM77" s="475" t="e">
        <f t="shared" si="10"/>
        <v>#N/A</v>
      </c>
      <c r="AN77" s="475" t="e">
        <f t="shared" si="11"/>
        <v>#N/A</v>
      </c>
      <c r="AO77" s="475" t="e">
        <f>INDEX('Tariff (hidden)'!$B$4:$B$133,MATCH(B77,'Tariff (hidden)'!$A$4:$A$133,0))</f>
        <v>#N/A</v>
      </c>
    </row>
    <row r="78" spans="1:41" x14ac:dyDescent="0.25">
      <c r="A78" s="110"/>
      <c r="B78" s="111"/>
      <c r="C78" s="112"/>
      <c r="D78" s="111"/>
      <c r="E78" s="545"/>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5"/>
      <c r="AI78" s="116" t="e">
        <f>IF(INDEX(TARIFF_TABLE[#All], MATCH($B78,TARIFF_TABLE[[#All],[Activity]],0),MATCH("ActivityType",TARIFF_TABLE[#Headers]))="Investigation",INDEX(TARIFF_TABLE[#All], MATCH($B78,TARIFF_TABLE[[#All],[Activity]],0),MATCH("Cost",TARIFF_TABLE[#Headers],0)),INDEX(Staff_Costs[#All],MATCH('Per-Participant Activities Arm1'!D78,Staff_Costs[[#All],[Role]],0),MATCH("Per-minute cost",Staff_Costs[#Headers],0))*'Per-Participant Activities Arm1'!C78)</f>
        <v>#N/A</v>
      </c>
      <c r="AJ78" s="475" t="e">
        <f t="shared" si="7"/>
        <v>#N/A</v>
      </c>
      <c r="AK78" s="475" t="e">
        <f t="shared" si="8"/>
        <v>#N/A</v>
      </c>
      <c r="AL78" s="475" t="e">
        <f t="shared" si="9"/>
        <v>#N/A</v>
      </c>
      <c r="AM78" s="475" t="e">
        <f t="shared" si="10"/>
        <v>#N/A</v>
      </c>
      <c r="AN78" s="475" t="e">
        <f t="shared" si="11"/>
        <v>#N/A</v>
      </c>
      <c r="AO78" s="475" t="e">
        <f>INDEX('Tariff (hidden)'!$B$4:$B$133,MATCH(B78,'Tariff (hidden)'!$A$4:$A$133,0))</f>
        <v>#N/A</v>
      </c>
    </row>
    <row r="79" spans="1:41" x14ac:dyDescent="0.25">
      <c r="A79" s="110"/>
      <c r="B79" s="111"/>
      <c r="C79" s="112"/>
      <c r="D79" s="111"/>
      <c r="E79" s="545"/>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5"/>
      <c r="AI79" s="116" t="e">
        <f>IF(INDEX(TARIFF_TABLE[#All], MATCH($B79,TARIFF_TABLE[[#All],[Activity]],0),MATCH("ActivityType",TARIFF_TABLE[#Headers]))="Investigation",INDEX(TARIFF_TABLE[#All], MATCH($B79,TARIFF_TABLE[[#All],[Activity]],0),MATCH("Cost",TARIFF_TABLE[#Headers],0)),INDEX(Staff_Costs[#All],MATCH('Per-Participant Activities Arm1'!D79,Staff_Costs[[#All],[Role]],0),MATCH("Per-minute cost",Staff_Costs[#Headers],0))*'Per-Participant Activities Arm1'!C79)</f>
        <v>#N/A</v>
      </c>
      <c r="AJ79" s="475" t="e">
        <f t="shared" si="7"/>
        <v>#N/A</v>
      </c>
      <c r="AK79" s="475" t="e">
        <f t="shared" si="8"/>
        <v>#N/A</v>
      </c>
      <c r="AL79" s="475" t="e">
        <f t="shared" si="9"/>
        <v>#N/A</v>
      </c>
      <c r="AM79" s="475" t="e">
        <f t="shared" si="10"/>
        <v>#N/A</v>
      </c>
      <c r="AN79" s="475" t="e">
        <f t="shared" si="11"/>
        <v>#N/A</v>
      </c>
      <c r="AO79" s="475" t="e">
        <f>INDEX('Tariff (hidden)'!$B$4:$B$133,MATCH(B79,'Tariff (hidden)'!$A$4:$A$133,0))</f>
        <v>#N/A</v>
      </c>
    </row>
    <row r="80" spans="1:41" x14ac:dyDescent="0.25">
      <c r="A80" s="110"/>
      <c r="B80" s="111"/>
      <c r="C80" s="112"/>
      <c r="D80" s="111"/>
      <c r="E80" s="545"/>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5"/>
      <c r="AI80" s="116" t="e">
        <f>IF(INDEX(TARIFF_TABLE[#All], MATCH($B80,TARIFF_TABLE[[#All],[Activity]],0),MATCH("ActivityType",TARIFF_TABLE[#Headers]))="Investigation",INDEX(TARIFF_TABLE[#All], MATCH($B80,TARIFF_TABLE[[#All],[Activity]],0),MATCH("Cost",TARIFF_TABLE[#Headers],0)),INDEX(Staff_Costs[#All],MATCH('Per-Participant Activities Arm1'!D80,Staff_Costs[[#All],[Role]],0),MATCH("Per-minute cost",Staff_Costs[#Headers],0))*'Per-Participant Activities Arm1'!C80)</f>
        <v>#N/A</v>
      </c>
      <c r="AJ80" s="475" t="e">
        <f t="shared" si="7"/>
        <v>#N/A</v>
      </c>
      <c r="AK80" s="475" t="e">
        <f t="shared" si="8"/>
        <v>#N/A</v>
      </c>
      <c r="AL80" s="475" t="e">
        <f t="shared" si="9"/>
        <v>#N/A</v>
      </c>
      <c r="AM80" s="475" t="e">
        <f t="shared" si="10"/>
        <v>#N/A</v>
      </c>
      <c r="AN80" s="475" t="e">
        <f t="shared" si="11"/>
        <v>#N/A</v>
      </c>
      <c r="AO80" s="475" t="e">
        <f>INDEX('Tariff (hidden)'!$B$4:$B$133,MATCH(B80,'Tariff (hidden)'!$A$4:$A$133,0))</f>
        <v>#N/A</v>
      </c>
    </row>
    <row r="81" spans="1:41" x14ac:dyDescent="0.25">
      <c r="A81" s="110"/>
      <c r="B81" s="111"/>
      <c r="C81" s="112"/>
      <c r="D81" s="111"/>
      <c r="E81" s="545"/>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5"/>
      <c r="AI81" s="116" t="e">
        <f>IF(INDEX(TARIFF_TABLE[#All], MATCH($B81,TARIFF_TABLE[[#All],[Activity]],0),MATCH("ActivityType",TARIFF_TABLE[#Headers]))="Investigation",INDEX(TARIFF_TABLE[#All], MATCH($B81,TARIFF_TABLE[[#All],[Activity]],0),MATCH("Cost",TARIFF_TABLE[#Headers],0)),INDEX(Staff_Costs[#All],MATCH('Per-Participant Activities Arm1'!D81,Staff_Costs[[#All],[Role]],0),MATCH("Per-minute cost",Staff_Costs[#Headers],0))*'Per-Participant Activities Arm1'!C81)</f>
        <v>#N/A</v>
      </c>
      <c r="AJ81" s="475" t="e">
        <f t="shared" si="7"/>
        <v>#N/A</v>
      </c>
      <c r="AK81" s="475" t="e">
        <f t="shared" si="8"/>
        <v>#N/A</v>
      </c>
      <c r="AL81" s="475" t="e">
        <f t="shared" si="9"/>
        <v>#N/A</v>
      </c>
      <c r="AM81" s="475" t="e">
        <f t="shared" si="10"/>
        <v>#N/A</v>
      </c>
      <c r="AN81" s="475" t="e">
        <f t="shared" si="11"/>
        <v>#N/A</v>
      </c>
      <c r="AO81" s="475" t="e">
        <f>INDEX('Tariff (hidden)'!$B$4:$B$133,MATCH(B81,'Tariff (hidden)'!$A$4:$A$133,0))</f>
        <v>#N/A</v>
      </c>
    </row>
    <row r="82" spans="1:41" x14ac:dyDescent="0.25">
      <c r="A82" s="110"/>
      <c r="B82" s="111"/>
      <c r="C82" s="112"/>
      <c r="D82" s="111"/>
      <c r="E82" s="545"/>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5"/>
      <c r="AI82" s="116" t="e">
        <f>IF(INDEX(TARIFF_TABLE[#All], MATCH($B82,TARIFF_TABLE[[#All],[Activity]],0),MATCH("ActivityType",TARIFF_TABLE[#Headers]))="Investigation",INDEX(TARIFF_TABLE[#All], MATCH($B82,TARIFF_TABLE[[#All],[Activity]],0),MATCH("Cost",TARIFF_TABLE[#Headers],0)),INDEX(Staff_Costs[#All],MATCH('Per-Participant Activities Arm1'!D82,Staff_Costs[[#All],[Role]],0),MATCH("Per-minute cost",Staff_Costs[#Headers],0))*'Per-Participant Activities Arm1'!C82)</f>
        <v>#N/A</v>
      </c>
      <c r="AJ82" s="475" t="e">
        <f t="shared" si="7"/>
        <v>#N/A</v>
      </c>
      <c r="AK82" s="475" t="e">
        <f t="shared" si="8"/>
        <v>#N/A</v>
      </c>
      <c r="AL82" s="475" t="e">
        <f t="shared" si="9"/>
        <v>#N/A</v>
      </c>
      <c r="AM82" s="475" t="e">
        <f t="shared" si="10"/>
        <v>#N/A</v>
      </c>
      <c r="AN82" s="475" t="e">
        <f t="shared" si="11"/>
        <v>#N/A</v>
      </c>
      <c r="AO82" s="475" t="e">
        <f>INDEX('Tariff (hidden)'!$B$4:$B$133,MATCH(B82,'Tariff (hidden)'!$A$4:$A$133,0))</f>
        <v>#N/A</v>
      </c>
    </row>
    <row r="83" spans="1:41" x14ac:dyDescent="0.25">
      <c r="A83" s="110"/>
      <c r="B83" s="111"/>
      <c r="C83" s="112"/>
      <c r="D83" s="111"/>
      <c r="E83" s="545"/>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5"/>
      <c r="AI83" s="116" t="e">
        <f>IF(INDEX(TARIFF_TABLE[#All], MATCH($B83,TARIFF_TABLE[[#All],[Activity]],0),MATCH("ActivityType",TARIFF_TABLE[#Headers]))="Investigation",INDEX(TARIFF_TABLE[#All], MATCH($B83,TARIFF_TABLE[[#All],[Activity]],0),MATCH("Cost",TARIFF_TABLE[#Headers],0)),INDEX(Staff_Costs[#All],MATCH('Per-Participant Activities Arm1'!D83,Staff_Costs[[#All],[Role]],0),MATCH("Per-minute cost",Staff_Costs[#Headers],0))*'Per-Participant Activities Arm1'!C83)</f>
        <v>#N/A</v>
      </c>
      <c r="AJ83" s="475" t="e">
        <f t="shared" si="7"/>
        <v>#N/A</v>
      </c>
      <c r="AK83" s="475" t="e">
        <f t="shared" si="8"/>
        <v>#N/A</v>
      </c>
      <c r="AL83" s="475" t="e">
        <f t="shared" si="9"/>
        <v>#N/A</v>
      </c>
      <c r="AM83" s="475" t="e">
        <f t="shared" si="10"/>
        <v>#N/A</v>
      </c>
      <c r="AN83" s="475" t="e">
        <f t="shared" si="11"/>
        <v>#N/A</v>
      </c>
      <c r="AO83" s="475" t="e">
        <f>INDEX('Tariff (hidden)'!$B$4:$B$133,MATCH(B83,'Tariff (hidden)'!$A$4:$A$133,0))</f>
        <v>#N/A</v>
      </c>
    </row>
    <row r="84" spans="1:41" x14ac:dyDescent="0.25">
      <c r="A84" s="110"/>
      <c r="B84" s="111"/>
      <c r="C84" s="112"/>
      <c r="D84" s="111"/>
      <c r="E84" s="545"/>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5"/>
      <c r="AI84" s="116" t="e">
        <f>IF(INDEX(TARIFF_TABLE[#All], MATCH($B84,TARIFF_TABLE[[#All],[Activity]],0),MATCH("ActivityType",TARIFF_TABLE[#Headers]))="Investigation",INDEX(TARIFF_TABLE[#All], MATCH($B84,TARIFF_TABLE[[#All],[Activity]],0),MATCH("Cost",TARIFF_TABLE[#Headers],0)),INDEX(Staff_Costs[#All],MATCH('Per-Participant Activities Arm1'!D84,Staff_Costs[[#All],[Role]],0),MATCH("Per-minute cost",Staff_Costs[#Headers],0))*'Per-Participant Activities Arm1'!C84)</f>
        <v>#N/A</v>
      </c>
      <c r="AJ84" s="475" t="e">
        <f t="shared" si="7"/>
        <v>#N/A</v>
      </c>
      <c r="AK84" s="475" t="e">
        <f t="shared" si="8"/>
        <v>#N/A</v>
      </c>
      <c r="AL84" s="475" t="e">
        <f t="shared" si="9"/>
        <v>#N/A</v>
      </c>
      <c r="AM84" s="475" t="e">
        <f t="shared" si="10"/>
        <v>#N/A</v>
      </c>
      <c r="AN84" s="475" t="e">
        <f t="shared" si="11"/>
        <v>#N/A</v>
      </c>
      <c r="AO84" s="475" t="e">
        <f>INDEX('Tariff (hidden)'!$B$4:$B$133,MATCH(B84,'Tariff (hidden)'!$A$4:$A$133,0))</f>
        <v>#N/A</v>
      </c>
    </row>
    <row r="85" spans="1:41" x14ac:dyDescent="0.25">
      <c r="A85" s="110"/>
      <c r="B85" s="111"/>
      <c r="C85" s="112"/>
      <c r="D85" s="111"/>
      <c r="E85" s="545"/>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5"/>
      <c r="AI85" s="116" t="e">
        <f>IF(INDEX(TARIFF_TABLE[#All], MATCH($B85,TARIFF_TABLE[[#All],[Activity]],0),MATCH("ActivityType",TARIFF_TABLE[#Headers]))="Investigation",INDEX(TARIFF_TABLE[#All], MATCH($B85,TARIFF_TABLE[[#All],[Activity]],0),MATCH("Cost",TARIFF_TABLE[#Headers],0)),INDEX(Staff_Costs[#All],MATCH('Per-Participant Activities Arm1'!D85,Staff_Costs[[#All],[Role]],0),MATCH("Per-minute cost",Staff_Costs[#Headers],0))*'Per-Participant Activities Arm1'!C85)</f>
        <v>#N/A</v>
      </c>
      <c r="AJ85" s="475" t="e">
        <f t="shared" si="7"/>
        <v>#N/A</v>
      </c>
      <c r="AK85" s="475" t="e">
        <f t="shared" si="8"/>
        <v>#N/A</v>
      </c>
      <c r="AL85" s="475" t="e">
        <f t="shared" si="9"/>
        <v>#N/A</v>
      </c>
      <c r="AM85" s="475" t="e">
        <f t="shared" si="10"/>
        <v>#N/A</v>
      </c>
      <c r="AN85" s="475" t="e">
        <f t="shared" si="11"/>
        <v>#N/A</v>
      </c>
      <c r="AO85" s="475" t="e">
        <f>INDEX('Tariff (hidden)'!$B$4:$B$133,MATCH(B85,'Tariff (hidden)'!$A$4:$A$133,0))</f>
        <v>#N/A</v>
      </c>
    </row>
    <row r="86" spans="1:41" x14ac:dyDescent="0.25">
      <c r="A86" s="110"/>
      <c r="B86" s="111"/>
      <c r="C86" s="112"/>
      <c r="D86" s="111"/>
      <c r="E86" s="545"/>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5"/>
      <c r="AI86" s="116" t="e">
        <f>IF(INDEX(TARIFF_TABLE[#All], MATCH($B86,TARIFF_TABLE[[#All],[Activity]],0),MATCH("ActivityType",TARIFF_TABLE[#Headers]))="Investigation",INDEX(TARIFF_TABLE[#All], MATCH($B86,TARIFF_TABLE[[#All],[Activity]],0),MATCH("Cost",TARIFF_TABLE[#Headers],0)),INDEX(Staff_Costs[#All],MATCH('Per-Participant Activities Arm1'!D86,Staff_Costs[[#All],[Role]],0),MATCH("Per-minute cost",Staff_Costs[#Headers],0))*'Per-Participant Activities Arm1'!C86)</f>
        <v>#N/A</v>
      </c>
      <c r="AJ86" s="475" t="e">
        <f t="shared" si="7"/>
        <v>#N/A</v>
      </c>
      <c r="AK86" s="475" t="e">
        <f t="shared" si="8"/>
        <v>#N/A</v>
      </c>
      <c r="AL86" s="475" t="e">
        <f t="shared" si="9"/>
        <v>#N/A</v>
      </c>
      <c r="AM86" s="475" t="e">
        <f t="shared" si="10"/>
        <v>#N/A</v>
      </c>
      <c r="AN86" s="475" t="e">
        <f t="shared" si="11"/>
        <v>#N/A</v>
      </c>
      <c r="AO86" s="475" t="e">
        <f>INDEX('Tariff (hidden)'!$B$4:$B$133,MATCH(B86,'Tariff (hidden)'!$A$4:$A$133,0))</f>
        <v>#N/A</v>
      </c>
    </row>
    <row r="87" spans="1:41" x14ac:dyDescent="0.25">
      <c r="A87" s="110"/>
      <c r="B87" s="111"/>
      <c r="C87" s="112"/>
      <c r="D87" s="111"/>
      <c r="E87" s="545"/>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5"/>
      <c r="AI87" s="116" t="e">
        <f>IF(INDEX(TARIFF_TABLE[#All], MATCH($B87,TARIFF_TABLE[[#All],[Activity]],0),MATCH("ActivityType",TARIFF_TABLE[#Headers]))="Investigation",INDEX(TARIFF_TABLE[#All], MATCH($B87,TARIFF_TABLE[[#All],[Activity]],0),MATCH("Cost",TARIFF_TABLE[#Headers],0)),INDEX(Staff_Costs[#All],MATCH('Per-Participant Activities Arm1'!D87,Staff_Costs[[#All],[Role]],0),MATCH("Per-minute cost",Staff_Costs[#Headers],0))*'Per-Participant Activities Arm1'!C87)</f>
        <v>#N/A</v>
      </c>
      <c r="AJ87" s="475" t="e">
        <f t="shared" si="7"/>
        <v>#N/A</v>
      </c>
      <c r="AK87" s="475" t="e">
        <f t="shared" si="8"/>
        <v>#N/A</v>
      </c>
      <c r="AL87" s="475" t="e">
        <f t="shared" si="9"/>
        <v>#N/A</v>
      </c>
      <c r="AM87" s="475" t="e">
        <f t="shared" si="10"/>
        <v>#N/A</v>
      </c>
      <c r="AN87" s="475" t="e">
        <f t="shared" si="11"/>
        <v>#N/A</v>
      </c>
      <c r="AO87" s="475" t="e">
        <f>INDEX('Tariff (hidden)'!$B$4:$B$133,MATCH(B87,'Tariff (hidden)'!$A$4:$A$133,0))</f>
        <v>#N/A</v>
      </c>
    </row>
    <row r="88" spans="1:41" x14ac:dyDescent="0.25">
      <c r="A88" s="110"/>
      <c r="B88" s="111"/>
      <c r="C88" s="112"/>
      <c r="D88" s="111"/>
      <c r="E88" s="545"/>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5"/>
      <c r="AI88" s="116" t="e">
        <f>IF(INDEX(TARIFF_TABLE[#All], MATCH($B88,TARIFF_TABLE[[#All],[Activity]],0),MATCH("ActivityType",TARIFF_TABLE[#Headers]))="Investigation",INDEX(TARIFF_TABLE[#All], MATCH($B88,TARIFF_TABLE[[#All],[Activity]],0),MATCH("Cost",TARIFF_TABLE[#Headers],0)),INDEX(Staff_Costs[#All],MATCH('Per-Participant Activities Arm1'!D88,Staff_Costs[[#All],[Role]],0),MATCH("Per-minute cost",Staff_Costs[#Headers],0))*'Per-Participant Activities Arm1'!C88)</f>
        <v>#N/A</v>
      </c>
      <c r="AJ88" s="475" t="e">
        <f t="shared" si="7"/>
        <v>#N/A</v>
      </c>
      <c r="AK88" s="475" t="e">
        <f t="shared" si="8"/>
        <v>#N/A</v>
      </c>
      <c r="AL88" s="475" t="e">
        <f t="shared" si="9"/>
        <v>#N/A</v>
      </c>
      <c r="AM88" s="475" t="e">
        <f t="shared" si="10"/>
        <v>#N/A</v>
      </c>
      <c r="AN88" s="475" t="e">
        <f t="shared" si="11"/>
        <v>#N/A</v>
      </c>
      <c r="AO88" s="475" t="e">
        <f>INDEX('Tariff (hidden)'!$B$4:$B$133,MATCH(B88,'Tariff (hidden)'!$A$4:$A$133,0))</f>
        <v>#N/A</v>
      </c>
    </row>
    <row r="89" spans="1:41" x14ac:dyDescent="0.25">
      <c r="A89" s="110"/>
      <c r="B89" s="111"/>
      <c r="C89" s="112"/>
      <c r="D89" s="111"/>
      <c r="E89" s="545"/>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5"/>
      <c r="AI89" s="116" t="e">
        <f>IF(INDEX(TARIFF_TABLE[#All], MATCH($B89,TARIFF_TABLE[[#All],[Activity]],0),MATCH("ActivityType",TARIFF_TABLE[#Headers]))="Investigation",INDEX(TARIFF_TABLE[#All], MATCH($B89,TARIFF_TABLE[[#All],[Activity]],0),MATCH("Cost",TARIFF_TABLE[#Headers],0)),INDEX(Staff_Costs[#All],MATCH('Per-Participant Activities Arm1'!D89,Staff_Costs[[#All],[Role]],0),MATCH("Per-minute cost",Staff_Costs[#Headers],0))*'Per-Participant Activities Arm1'!C89)</f>
        <v>#N/A</v>
      </c>
      <c r="AJ89" s="475" t="e">
        <f t="shared" si="7"/>
        <v>#N/A</v>
      </c>
      <c r="AK89" s="475" t="e">
        <f t="shared" si="8"/>
        <v>#N/A</v>
      </c>
      <c r="AL89" s="475" t="e">
        <f t="shared" si="9"/>
        <v>#N/A</v>
      </c>
      <c r="AM89" s="475" t="e">
        <f t="shared" si="10"/>
        <v>#N/A</v>
      </c>
      <c r="AN89" s="475" t="e">
        <f t="shared" si="11"/>
        <v>#N/A</v>
      </c>
      <c r="AO89" s="475" t="e">
        <f>INDEX('Tariff (hidden)'!$B$4:$B$133,MATCH(B89,'Tariff (hidden)'!$A$4:$A$133,0))</f>
        <v>#N/A</v>
      </c>
    </row>
    <row r="90" spans="1:41" x14ac:dyDescent="0.25">
      <c r="A90" s="110"/>
      <c r="B90" s="111"/>
      <c r="C90" s="112"/>
      <c r="D90" s="111"/>
      <c r="E90" s="545"/>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5"/>
      <c r="AI90" s="116" t="e">
        <f>IF(INDEX(TARIFF_TABLE[#All], MATCH($B90,TARIFF_TABLE[[#All],[Activity]],0),MATCH("ActivityType",TARIFF_TABLE[#Headers]))="Investigation",INDEX(TARIFF_TABLE[#All], MATCH($B90,TARIFF_TABLE[[#All],[Activity]],0),MATCH("Cost",TARIFF_TABLE[#Headers],0)),INDEX(Staff_Costs[#All],MATCH('Per-Participant Activities Arm1'!D90,Staff_Costs[[#All],[Role]],0),MATCH("Per-minute cost",Staff_Costs[#Headers],0))*'Per-Participant Activities Arm1'!C90)</f>
        <v>#N/A</v>
      </c>
      <c r="AJ90" s="475" t="e">
        <f t="shared" si="7"/>
        <v>#N/A</v>
      </c>
      <c r="AK90" s="475" t="e">
        <f t="shared" si="8"/>
        <v>#N/A</v>
      </c>
      <c r="AL90" s="475" t="e">
        <f t="shared" si="9"/>
        <v>#N/A</v>
      </c>
      <c r="AM90" s="475" t="e">
        <f t="shared" si="10"/>
        <v>#N/A</v>
      </c>
      <c r="AN90" s="475" t="e">
        <f t="shared" si="11"/>
        <v>#N/A</v>
      </c>
      <c r="AO90" s="475" t="e">
        <f>INDEX('Tariff (hidden)'!$B$4:$B$133,MATCH(B90,'Tariff (hidden)'!$A$4:$A$133,0))</f>
        <v>#N/A</v>
      </c>
    </row>
    <row r="91" spans="1:41" x14ac:dyDescent="0.25">
      <c r="A91" s="110"/>
      <c r="B91" s="111"/>
      <c r="C91" s="112"/>
      <c r="D91" s="111"/>
      <c r="E91" s="545"/>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5"/>
      <c r="AI91" s="116" t="e">
        <f>IF(INDEX(TARIFF_TABLE[#All], MATCH($B91,TARIFF_TABLE[[#All],[Activity]],0),MATCH("ActivityType",TARIFF_TABLE[#Headers]))="Investigation",INDEX(TARIFF_TABLE[#All], MATCH($B91,TARIFF_TABLE[[#All],[Activity]],0),MATCH("Cost",TARIFF_TABLE[#Headers],0)),INDEX(Staff_Costs[#All],MATCH('Per-Participant Activities Arm1'!D91,Staff_Costs[[#All],[Role]],0),MATCH("Per-minute cost",Staff_Costs[#Headers],0))*'Per-Participant Activities Arm1'!C91)</f>
        <v>#N/A</v>
      </c>
      <c r="AJ91" s="475" t="e">
        <f t="shared" si="7"/>
        <v>#N/A</v>
      </c>
      <c r="AK91" s="475" t="e">
        <f t="shared" si="8"/>
        <v>#N/A</v>
      </c>
      <c r="AL91" s="475" t="e">
        <f t="shared" si="9"/>
        <v>#N/A</v>
      </c>
      <c r="AM91" s="475" t="e">
        <f t="shared" si="10"/>
        <v>#N/A</v>
      </c>
      <c r="AN91" s="475" t="e">
        <f t="shared" si="11"/>
        <v>#N/A</v>
      </c>
      <c r="AO91" s="475" t="e">
        <f>INDEX('Tariff (hidden)'!$B$4:$B$133,MATCH(B91,'Tariff (hidden)'!$A$4:$A$133,0))</f>
        <v>#N/A</v>
      </c>
    </row>
    <row r="92" spans="1:41" x14ac:dyDescent="0.25">
      <c r="A92" s="110"/>
      <c r="B92" s="111"/>
      <c r="C92" s="112"/>
      <c r="D92" s="111"/>
      <c r="E92" s="545"/>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5"/>
      <c r="AI92" s="116" t="e">
        <f>IF(INDEX(TARIFF_TABLE[#All], MATCH($B92,TARIFF_TABLE[[#All],[Activity]],0),MATCH("ActivityType",TARIFF_TABLE[#Headers]))="Investigation",INDEX(TARIFF_TABLE[#All], MATCH($B92,TARIFF_TABLE[[#All],[Activity]],0),MATCH("Cost",TARIFF_TABLE[#Headers],0)),INDEX(Staff_Costs[#All],MATCH('Per-Participant Activities Arm1'!D92,Staff_Costs[[#All],[Role]],0),MATCH("Per-minute cost",Staff_Costs[#Headers],0))*'Per-Participant Activities Arm1'!C92)</f>
        <v>#N/A</v>
      </c>
      <c r="AJ92" s="475" t="e">
        <f t="shared" si="7"/>
        <v>#N/A</v>
      </c>
      <c r="AK92" s="475" t="e">
        <f t="shared" si="8"/>
        <v>#N/A</v>
      </c>
      <c r="AL92" s="475" t="e">
        <f t="shared" si="9"/>
        <v>#N/A</v>
      </c>
      <c r="AM92" s="475" t="e">
        <f t="shared" si="10"/>
        <v>#N/A</v>
      </c>
      <c r="AN92" s="475" t="e">
        <f t="shared" si="11"/>
        <v>#N/A</v>
      </c>
      <c r="AO92" s="475" t="e">
        <f>INDEX('Tariff (hidden)'!$B$4:$B$133,MATCH(B92,'Tariff (hidden)'!$A$4:$A$133,0))</f>
        <v>#N/A</v>
      </c>
    </row>
    <row r="93" spans="1:41" x14ac:dyDescent="0.25">
      <c r="A93" s="110"/>
      <c r="B93" s="111"/>
      <c r="C93" s="112"/>
      <c r="D93" s="111"/>
      <c r="E93" s="545"/>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5"/>
      <c r="AI93" s="116" t="e">
        <f>IF(INDEX(TARIFF_TABLE[#All], MATCH($B93,TARIFF_TABLE[[#All],[Activity]],0),MATCH("ActivityType",TARIFF_TABLE[#Headers]))="Investigation",INDEX(TARIFF_TABLE[#All], MATCH($B93,TARIFF_TABLE[[#All],[Activity]],0),MATCH("Cost",TARIFF_TABLE[#Headers],0)),INDEX(Staff_Costs[#All],MATCH('Per-Participant Activities Arm1'!D93,Staff_Costs[[#All],[Role]],0),MATCH("Per-minute cost",Staff_Costs[#Headers],0))*'Per-Participant Activities Arm1'!C93)</f>
        <v>#N/A</v>
      </c>
      <c r="AJ93" s="475" t="e">
        <f t="shared" si="7"/>
        <v>#N/A</v>
      </c>
      <c r="AK93" s="475" t="e">
        <f t="shared" si="8"/>
        <v>#N/A</v>
      </c>
      <c r="AL93" s="475" t="e">
        <f t="shared" si="9"/>
        <v>#N/A</v>
      </c>
      <c r="AM93" s="475" t="e">
        <f t="shared" si="10"/>
        <v>#N/A</v>
      </c>
      <c r="AN93" s="475" t="e">
        <f t="shared" si="11"/>
        <v>#N/A</v>
      </c>
      <c r="AO93" s="475" t="e">
        <f>INDEX('Tariff (hidden)'!$B$4:$B$133,MATCH(B93,'Tariff (hidden)'!$A$4:$A$133,0))</f>
        <v>#N/A</v>
      </c>
    </row>
    <row r="94" spans="1:41" x14ac:dyDescent="0.25">
      <c r="A94" s="110"/>
      <c r="B94" s="111"/>
      <c r="C94" s="112"/>
      <c r="D94" s="111"/>
      <c r="E94" s="545"/>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5"/>
      <c r="AI94" s="116" t="e">
        <f>IF(INDEX(TARIFF_TABLE[#All], MATCH($B94,TARIFF_TABLE[[#All],[Activity]],0),MATCH("ActivityType",TARIFF_TABLE[#Headers]))="Investigation",INDEX(TARIFF_TABLE[#All], MATCH($B94,TARIFF_TABLE[[#All],[Activity]],0),MATCH("Cost",TARIFF_TABLE[#Headers],0)),INDEX(Staff_Costs[#All],MATCH('Per-Participant Activities Arm1'!D94,Staff_Costs[[#All],[Role]],0),MATCH("Per-minute cost",Staff_Costs[#Headers],0))*'Per-Participant Activities Arm1'!C94)</f>
        <v>#N/A</v>
      </c>
      <c r="AJ94" s="475" t="e">
        <f t="shared" si="7"/>
        <v>#N/A</v>
      </c>
      <c r="AK94" s="475" t="e">
        <f t="shared" si="8"/>
        <v>#N/A</v>
      </c>
      <c r="AL94" s="475" t="e">
        <f t="shared" si="9"/>
        <v>#N/A</v>
      </c>
      <c r="AM94" s="475" t="e">
        <f t="shared" si="10"/>
        <v>#N/A</v>
      </c>
      <c r="AN94" s="475" t="e">
        <f t="shared" si="11"/>
        <v>#N/A</v>
      </c>
      <c r="AO94" s="475" t="e">
        <f>INDEX('Tariff (hidden)'!$B$4:$B$133,MATCH(B94,'Tariff (hidden)'!$A$4:$A$133,0))</f>
        <v>#N/A</v>
      </c>
    </row>
    <row r="95" spans="1:41" x14ac:dyDescent="0.25">
      <c r="A95" s="110"/>
      <c r="B95" s="111"/>
      <c r="C95" s="112"/>
      <c r="D95" s="111"/>
      <c r="E95" s="545"/>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5"/>
      <c r="AI95" s="116" t="e">
        <f>IF(INDEX(TARIFF_TABLE[#All], MATCH($B95,TARIFF_TABLE[[#All],[Activity]],0),MATCH("ActivityType",TARIFF_TABLE[#Headers]))="Investigation",INDEX(TARIFF_TABLE[#All], MATCH($B95,TARIFF_TABLE[[#All],[Activity]],0),MATCH("Cost",TARIFF_TABLE[#Headers],0)),INDEX(Staff_Costs[#All],MATCH('Per-Participant Activities Arm1'!D95,Staff_Costs[[#All],[Role]],0),MATCH("Per-minute cost",Staff_Costs[#Headers],0))*'Per-Participant Activities Arm1'!C95)</f>
        <v>#N/A</v>
      </c>
      <c r="AJ95" s="475" t="e">
        <f t="shared" si="7"/>
        <v>#N/A</v>
      </c>
      <c r="AK95" s="475" t="e">
        <f t="shared" si="8"/>
        <v>#N/A</v>
      </c>
      <c r="AL95" s="475" t="e">
        <f t="shared" si="9"/>
        <v>#N/A</v>
      </c>
      <c r="AM95" s="475" t="e">
        <f t="shared" si="10"/>
        <v>#N/A</v>
      </c>
      <c r="AN95" s="475" t="e">
        <f t="shared" si="11"/>
        <v>#N/A</v>
      </c>
      <c r="AO95" s="475" t="e">
        <f>INDEX('Tariff (hidden)'!$B$4:$B$133,MATCH(B95,'Tariff (hidden)'!$A$4:$A$133,0))</f>
        <v>#N/A</v>
      </c>
    </row>
    <row r="96" spans="1:41" x14ac:dyDescent="0.25">
      <c r="A96" s="110"/>
      <c r="B96" s="111"/>
      <c r="C96" s="112"/>
      <c r="D96" s="111"/>
      <c r="E96" s="545"/>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5"/>
      <c r="AI96" s="116" t="e">
        <f>IF(INDEX(TARIFF_TABLE[#All], MATCH($B96,TARIFF_TABLE[[#All],[Activity]],0),MATCH("ActivityType",TARIFF_TABLE[#Headers]))="Investigation",INDEX(TARIFF_TABLE[#All], MATCH($B96,TARIFF_TABLE[[#All],[Activity]],0),MATCH("Cost",TARIFF_TABLE[#Headers],0)),INDEX(Staff_Costs[#All],MATCH('Per-Participant Activities Arm1'!D96,Staff_Costs[[#All],[Role]],0),MATCH("Per-minute cost",Staff_Costs[#Headers],0))*'Per-Participant Activities Arm1'!C96)</f>
        <v>#N/A</v>
      </c>
      <c r="AJ96" s="475" t="e">
        <f t="shared" si="7"/>
        <v>#N/A</v>
      </c>
      <c r="AK96" s="475" t="e">
        <f t="shared" si="8"/>
        <v>#N/A</v>
      </c>
      <c r="AL96" s="475" t="e">
        <f t="shared" si="9"/>
        <v>#N/A</v>
      </c>
      <c r="AM96" s="475" t="e">
        <f t="shared" si="10"/>
        <v>#N/A</v>
      </c>
      <c r="AN96" s="475" t="e">
        <f t="shared" si="11"/>
        <v>#N/A</v>
      </c>
      <c r="AO96" s="475" t="e">
        <f>INDEX('Tariff (hidden)'!$B$4:$B$133,MATCH(B96,'Tariff (hidden)'!$A$4:$A$133,0))</f>
        <v>#N/A</v>
      </c>
    </row>
    <row r="97" spans="1:41" x14ac:dyDescent="0.25">
      <c r="A97" s="110"/>
      <c r="B97" s="111"/>
      <c r="C97" s="112"/>
      <c r="D97" s="111"/>
      <c r="E97" s="545"/>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5"/>
      <c r="AI97" s="116" t="e">
        <f>IF(INDEX(TARIFF_TABLE[#All], MATCH($B97,TARIFF_TABLE[[#All],[Activity]],0),MATCH("ActivityType",TARIFF_TABLE[#Headers]))="Investigation",INDEX(TARIFF_TABLE[#All], MATCH($B97,TARIFF_TABLE[[#All],[Activity]],0),MATCH("Cost",TARIFF_TABLE[#Headers],0)),INDEX(Staff_Costs[#All],MATCH('Per-Participant Activities Arm1'!D97,Staff_Costs[[#All],[Role]],0),MATCH("Per-minute cost",Staff_Costs[#Headers],0))*'Per-Participant Activities Arm1'!C97)</f>
        <v>#N/A</v>
      </c>
      <c r="AJ97" s="475" t="e">
        <f t="shared" si="7"/>
        <v>#N/A</v>
      </c>
      <c r="AK97" s="475" t="e">
        <f t="shared" si="8"/>
        <v>#N/A</v>
      </c>
      <c r="AL97" s="475" t="e">
        <f t="shared" si="9"/>
        <v>#N/A</v>
      </c>
      <c r="AM97" s="475" t="e">
        <f t="shared" si="10"/>
        <v>#N/A</v>
      </c>
      <c r="AN97" s="475" t="e">
        <f t="shared" si="11"/>
        <v>#N/A</v>
      </c>
      <c r="AO97" s="475" t="e">
        <f>INDEX('Tariff (hidden)'!$B$4:$B$133,MATCH(B97,'Tariff (hidden)'!$A$4:$A$133,0))</f>
        <v>#N/A</v>
      </c>
    </row>
    <row r="98" spans="1:41" x14ac:dyDescent="0.25">
      <c r="A98" s="110"/>
      <c r="B98" s="111"/>
      <c r="C98" s="112"/>
      <c r="D98" s="111"/>
      <c r="E98" s="545"/>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5"/>
      <c r="AI98" s="116" t="e">
        <f>IF(INDEX(TARIFF_TABLE[#All], MATCH($B98,TARIFF_TABLE[[#All],[Activity]],0),MATCH("ActivityType",TARIFF_TABLE[#Headers]))="Investigation",INDEX(TARIFF_TABLE[#All], MATCH($B98,TARIFF_TABLE[[#All],[Activity]],0),MATCH("Cost",TARIFF_TABLE[#Headers],0)),INDEX(Staff_Costs[#All],MATCH('Per-Participant Activities Arm1'!D98,Staff_Costs[[#All],[Role]],0),MATCH("Per-minute cost",Staff_Costs[#Headers],0))*'Per-Participant Activities Arm1'!C98)</f>
        <v>#N/A</v>
      </c>
      <c r="AJ98" s="475" t="e">
        <f t="shared" si="7"/>
        <v>#N/A</v>
      </c>
      <c r="AK98" s="475" t="e">
        <f t="shared" si="8"/>
        <v>#N/A</v>
      </c>
      <c r="AL98" s="475" t="e">
        <f t="shared" si="9"/>
        <v>#N/A</v>
      </c>
      <c r="AM98" s="475" t="e">
        <f t="shared" si="10"/>
        <v>#N/A</v>
      </c>
      <c r="AN98" s="475" t="e">
        <f t="shared" si="11"/>
        <v>#N/A</v>
      </c>
      <c r="AO98" s="475" t="e">
        <f>INDEX('Tariff (hidden)'!$B$4:$B$133,MATCH(B98,'Tariff (hidden)'!$A$4:$A$133,0))</f>
        <v>#N/A</v>
      </c>
    </row>
    <row r="99" spans="1:41" x14ac:dyDescent="0.25">
      <c r="A99" s="110"/>
      <c r="B99" s="111"/>
      <c r="C99" s="112"/>
      <c r="D99" s="111"/>
      <c r="E99" s="545"/>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5"/>
      <c r="AI99" s="116" t="e">
        <f>IF(INDEX(TARIFF_TABLE[#All], MATCH($B99,TARIFF_TABLE[[#All],[Activity]],0),MATCH("ActivityType",TARIFF_TABLE[#Headers]))="Investigation",INDEX(TARIFF_TABLE[#All], MATCH($B99,TARIFF_TABLE[[#All],[Activity]],0),MATCH("Cost",TARIFF_TABLE[#Headers],0)),INDEX(Staff_Costs[#All],MATCH('Per-Participant Activities Arm1'!D99,Staff_Costs[[#All],[Role]],0),MATCH("Per-minute cost",Staff_Costs[#Headers],0))*'Per-Participant Activities Arm1'!C99)</f>
        <v>#N/A</v>
      </c>
      <c r="AJ99" s="475" t="e">
        <f t="shared" si="7"/>
        <v>#N/A</v>
      </c>
      <c r="AK99" s="475" t="e">
        <f t="shared" si="8"/>
        <v>#N/A</v>
      </c>
      <c r="AL99" s="475" t="e">
        <f t="shared" si="9"/>
        <v>#N/A</v>
      </c>
      <c r="AM99" s="475" t="e">
        <f t="shared" si="10"/>
        <v>#N/A</v>
      </c>
      <c r="AN99" s="475" t="e">
        <f t="shared" si="11"/>
        <v>#N/A</v>
      </c>
      <c r="AO99" s="475" t="e">
        <f>INDEX('Tariff (hidden)'!$B$4:$B$133,MATCH(B99,'Tariff (hidden)'!$A$4:$A$133,0))</f>
        <v>#N/A</v>
      </c>
    </row>
    <row r="100" spans="1:41" x14ac:dyDescent="0.25">
      <c r="A100" s="110"/>
      <c r="B100" s="111"/>
      <c r="C100" s="112"/>
      <c r="D100" s="111"/>
      <c r="E100" s="545"/>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5"/>
      <c r="AI100" s="116" t="e">
        <f>IF(INDEX(TARIFF_TABLE[#All], MATCH($B100,TARIFF_TABLE[[#All],[Activity]],0),MATCH("ActivityType",TARIFF_TABLE[#Headers]))="Investigation",INDEX(TARIFF_TABLE[#All], MATCH($B100,TARIFF_TABLE[[#All],[Activity]],0),MATCH("Cost",TARIFF_TABLE[#Headers],0)),INDEX(Staff_Costs[#All],MATCH('Per-Participant Activities Arm1'!D100,Staff_Costs[[#All],[Role]],0),MATCH("Per-minute cost",Staff_Costs[#Headers],0))*'Per-Participant Activities Arm1'!C100)</f>
        <v>#N/A</v>
      </c>
      <c r="AJ100" s="475" t="e">
        <f t="shared" si="7"/>
        <v>#N/A</v>
      </c>
      <c r="AK100" s="475" t="e">
        <f t="shared" si="8"/>
        <v>#N/A</v>
      </c>
      <c r="AL100" s="475" t="e">
        <f t="shared" si="9"/>
        <v>#N/A</v>
      </c>
      <c r="AM100" s="475" t="e">
        <f t="shared" si="10"/>
        <v>#N/A</v>
      </c>
      <c r="AN100" s="475" t="e">
        <f t="shared" si="11"/>
        <v>#N/A</v>
      </c>
      <c r="AO100" s="475" t="e">
        <f>INDEX('Tariff (hidden)'!$B$4:$B$133,MATCH(B100,'Tariff (hidden)'!$A$4:$A$133,0))</f>
        <v>#N/A</v>
      </c>
    </row>
    <row r="101" spans="1:41" x14ac:dyDescent="0.25">
      <c r="A101" s="110"/>
      <c r="B101" s="111"/>
      <c r="C101" s="112"/>
      <c r="D101" s="111"/>
      <c r="E101" s="545"/>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5"/>
      <c r="AI101" s="116" t="e">
        <f>IF(INDEX(TARIFF_TABLE[#All], MATCH($B101,TARIFF_TABLE[[#All],[Activity]],0),MATCH("ActivityType",TARIFF_TABLE[#Headers]))="Investigation",INDEX(TARIFF_TABLE[#All], MATCH($B101,TARIFF_TABLE[[#All],[Activity]],0),MATCH("Cost",TARIFF_TABLE[#Headers],0)),INDEX(Staff_Costs[#All],MATCH('Per-Participant Activities Arm1'!D101,Staff_Costs[[#All],[Role]],0),MATCH("Per-minute cost",Staff_Costs[#Headers],0))*'Per-Participant Activities Arm1'!C101)</f>
        <v>#N/A</v>
      </c>
      <c r="AJ101" s="475" t="e">
        <f t="shared" si="7"/>
        <v>#N/A</v>
      </c>
      <c r="AK101" s="475" t="e">
        <f t="shared" si="8"/>
        <v>#N/A</v>
      </c>
      <c r="AL101" s="475" t="e">
        <f t="shared" si="9"/>
        <v>#N/A</v>
      </c>
      <c r="AM101" s="475" t="e">
        <f t="shared" si="10"/>
        <v>#N/A</v>
      </c>
      <c r="AN101" s="475" t="e">
        <f t="shared" si="11"/>
        <v>#N/A</v>
      </c>
      <c r="AO101" s="475" t="e">
        <f>INDEX('Tariff (hidden)'!$B$4:$B$133,MATCH(B101,'Tariff (hidden)'!$A$4:$A$133,0))</f>
        <v>#N/A</v>
      </c>
    </row>
    <row r="102" spans="1:41" x14ac:dyDescent="0.25">
      <c r="A102" s="110"/>
      <c r="B102" s="111"/>
      <c r="C102" s="112"/>
      <c r="D102" s="111"/>
      <c r="E102" s="545"/>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5"/>
      <c r="AI102" s="116" t="e">
        <f>IF(INDEX(TARIFF_TABLE[#All], MATCH($B102,TARIFF_TABLE[[#All],[Activity]],0),MATCH("ActivityType",TARIFF_TABLE[#Headers]))="Investigation",INDEX(TARIFF_TABLE[#All], MATCH($B102,TARIFF_TABLE[[#All],[Activity]],0),MATCH("Cost",TARIFF_TABLE[#Headers],0)),INDEX(Staff_Costs[#All],MATCH('Per-Participant Activities Arm1'!D102,Staff_Costs[[#All],[Role]],0),MATCH("Per-minute cost",Staff_Costs[#Headers],0))*'Per-Participant Activities Arm1'!C102)</f>
        <v>#N/A</v>
      </c>
      <c r="AJ102" s="475" t="e">
        <f t="shared" si="7"/>
        <v>#N/A</v>
      </c>
      <c r="AK102" s="475" t="e">
        <f t="shared" si="8"/>
        <v>#N/A</v>
      </c>
      <c r="AL102" s="475" t="e">
        <f t="shared" si="9"/>
        <v>#N/A</v>
      </c>
      <c r="AM102" s="475" t="e">
        <f t="shared" si="10"/>
        <v>#N/A</v>
      </c>
      <c r="AN102" s="475" t="e">
        <f t="shared" si="11"/>
        <v>#N/A</v>
      </c>
      <c r="AO102" s="475" t="e">
        <f>INDEX('Tariff (hidden)'!$B$4:$B$133,MATCH(B102,'Tariff (hidden)'!$A$4:$A$133,0))</f>
        <v>#N/A</v>
      </c>
    </row>
    <row r="103" spans="1:41" x14ac:dyDescent="0.25">
      <c r="A103" s="110"/>
      <c r="B103" s="111"/>
      <c r="C103" s="112"/>
      <c r="D103" s="111"/>
      <c r="E103" s="545"/>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5"/>
      <c r="AI103" s="116" t="e">
        <f>IF(INDEX(TARIFF_TABLE[#All], MATCH($B103,TARIFF_TABLE[[#All],[Activity]],0),MATCH("ActivityType",TARIFF_TABLE[#Headers]))="Investigation",INDEX(TARIFF_TABLE[#All], MATCH($B103,TARIFF_TABLE[[#All],[Activity]],0),MATCH("Cost",TARIFF_TABLE[#Headers],0)),INDEX(Staff_Costs[#All],MATCH('Per-Participant Activities Arm1'!D103,Staff_Costs[[#All],[Role]],0),MATCH("Per-minute cost",Staff_Costs[#Headers],0))*'Per-Participant Activities Arm1'!C103)</f>
        <v>#N/A</v>
      </c>
      <c r="AJ103" s="475" t="e">
        <f t="shared" si="7"/>
        <v>#N/A</v>
      </c>
      <c r="AK103" s="475" t="e">
        <f t="shared" si="8"/>
        <v>#N/A</v>
      </c>
      <c r="AL103" s="475" t="e">
        <f t="shared" si="9"/>
        <v>#N/A</v>
      </c>
      <c r="AM103" s="475" t="e">
        <f t="shared" si="10"/>
        <v>#N/A</v>
      </c>
      <c r="AN103" s="475" t="e">
        <f t="shared" si="11"/>
        <v>#N/A</v>
      </c>
      <c r="AO103" s="475" t="e">
        <f>INDEX('Tariff (hidden)'!$B$4:$B$133,MATCH(B103,'Tariff (hidden)'!$A$4:$A$133,0))</f>
        <v>#N/A</v>
      </c>
    </row>
    <row r="104" spans="1:41" x14ac:dyDescent="0.25">
      <c r="A104" s="110"/>
      <c r="B104" s="111"/>
      <c r="C104" s="112"/>
      <c r="D104" s="111"/>
      <c r="E104" s="545"/>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5"/>
      <c r="AI104" s="116" t="e">
        <f>IF(INDEX(TARIFF_TABLE[#All], MATCH($B104,TARIFF_TABLE[[#All],[Activity]],0),MATCH("ActivityType",TARIFF_TABLE[#Headers]))="Investigation",INDEX(TARIFF_TABLE[#All], MATCH($B104,TARIFF_TABLE[[#All],[Activity]],0),MATCH("Cost",TARIFF_TABLE[#Headers],0)),INDEX(Staff_Costs[#All],MATCH('Per-Participant Activities Arm1'!D104,Staff_Costs[[#All],[Role]],0),MATCH("Per-minute cost",Staff_Costs[#Headers],0))*'Per-Participant Activities Arm1'!C104)</f>
        <v>#N/A</v>
      </c>
      <c r="AJ104" s="475" t="e">
        <f t="shared" si="7"/>
        <v>#N/A</v>
      </c>
      <c r="AK104" s="475" t="e">
        <f t="shared" si="8"/>
        <v>#N/A</v>
      </c>
      <c r="AL104" s="475" t="e">
        <f t="shared" si="9"/>
        <v>#N/A</v>
      </c>
      <c r="AM104" s="475" t="e">
        <f t="shared" si="10"/>
        <v>#N/A</v>
      </c>
      <c r="AN104" s="475" t="e">
        <f t="shared" si="11"/>
        <v>#N/A</v>
      </c>
      <c r="AO104" s="475" t="e">
        <f>INDEX('Tariff (hidden)'!$B$4:$B$133,MATCH(B104,'Tariff (hidden)'!$A$4:$A$133,0))</f>
        <v>#N/A</v>
      </c>
    </row>
    <row r="105" spans="1:41" x14ac:dyDescent="0.25">
      <c r="A105" s="110"/>
      <c r="B105" s="111"/>
      <c r="C105" s="112"/>
      <c r="D105" s="111"/>
      <c r="E105" s="545"/>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5"/>
      <c r="AI105" s="116" t="e">
        <f>IF(INDEX(TARIFF_TABLE[#All], MATCH($B105,TARIFF_TABLE[[#All],[Activity]],0),MATCH("ActivityType",TARIFF_TABLE[#Headers]))="Investigation",INDEX(TARIFF_TABLE[#All], MATCH($B105,TARIFF_TABLE[[#All],[Activity]],0),MATCH("Cost",TARIFF_TABLE[#Headers],0)),INDEX(Staff_Costs[#All],MATCH('Per-Participant Activities Arm1'!D105,Staff_Costs[[#All],[Role]],0),MATCH("Per-minute cost",Staff_Costs[#Headers],0))*'Per-Participant Activities Arm1'!C105)</f>
        <v>#N/A</v>
      </c>
      <c r="AJ105" s="475" t="e">
        <f t="shared" si="7"/>
        <v>#N/A</v>
      </c>
      <c r="AK105" s="475" t="e">
        <f t="shared" si="8"/>
        <v>#N/A</v>
      </c>
      <c r="AL105" s="475" t="e">
        <f t="shared" si="9"/>
        <v>#N/A</v>
      </c>
      <c r="AM105" s="475" t="e">
        <f t="shared" si="10"/>
        <v>#N/A</v>
      </c>
      <c r="AN105" s="475" t="e">
        <f t="shared" si="11"/>
        <v>#N/A</v>
      </c>
      <c r="AO105" s="475" t="e">
        <f>INDEX('Tariff (hidden)'!$B$4:$B$133,MATCH(B105,'Tariff (hidden)'!$A$4:$A$133,0))</f>
        <v>#N/A</v>
      </c>
    </row>
    <row r="106" spans="1:41" x14ac:dyDescent="0.25">
      <c r="A106" s="110"/>
      <c r="B106" s="111"/>
      <c r="C106" s="112"/>
      <c r="D106" s="111"/>
      <c r="E106" s="545"/>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5"/>
      <c r="AI106" s="116" t="e">
        <f>IF(INDEX(TARIFF_TABLE[#All], MATCH($B106,TARIFF_TABLE[[#All],[Activity]],0),MATCH("ActivityType",TARIFF_TABLE[#Headers]))="Investigation",INDEX(TARIFF_TABLE[#All], MATCH($B106,TARIFF_TABLE[[#All],[Activity]],0),MATCH("Cost",TARIFF_TABLE[#Headers],0)),INDEX(Staff_Costs[#All],MATCH('Per-Participant Activities Arm1'!D106,Staff_Costs[[#All],[Role]],0),MATCH("Per-minute cost",Staff_Costs[#Headers],0))*'Per-Participant Activities Arm1'!C106)</f>
        <v>#N/A</v>
      </c>
      <c r="AJ106" s="475" t="e">
        <f t="shared" si="7"/>
        <v>#N/A</v>
      </c>
      <c r="AK106" s="475" t="e">
        <f t="shared" si="8"/>
        <v>#N/A</v>
      </c>
      <c r="AL106" s="475" t="e">
        <f t="shared" si="9"/>
        <v>#N/A</v>
      </c>
      <c r="AM106" s="475" t="e">
        <f t="shared" si="10"/>
        <v>#N/A</v>
      </c>
      <c r="AN106" s="475" t="e">
        <f t="shared" si="11"/>
        <v>#N/A</v>
      </c>
      <c r="AO106" s="475" t="e">
        <f>INDEX('Tariff (hidden)'!$B$4:$B$133,MATCH(B106,'Tariff (hidden)'!$A$4:$A$133,0))</f>
        <v>#N/A</v>
      </c>
    </row>
    <row r="107" spans="1:41" x14ac:dyDescent="0.25">
      <c r="A107" s="110"/>
      <c r="B107" s="111"/>
      <c r="C107" s="112"/>
      <c r="D107" s="111"/>
      <c r="E107" s="545"/>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5"/>
      <c r="AI107" s="116" t="e">
        <f>IF(INDEX(TARIFF_TABLE[#All], MATCH($B107,TARIFF_TABLE[[#All],[Activity]],0),MATCH("ActivityType",TARIFF_TABLE[#Headers]))="Investigation",INDEX(TARIFF_TABLE[#All], MATCH($B107,TARIFF_TABLE[[#All],[Activity]],0),MATCH("Cost",TARIFF_TABLE[#Headers],0)),INDEX(Staff_Costs[#All],MATCH('Per-Participant Activities Arm1'!D107,Staff_Costs[[#All],[Role]],0),MATCH("Per-minute cost",Staff_Costs[#Headers],0))*'Per-Participant Activities Arm1'!C107)</f>
        <v>#N/A</v>
      </c>
      <c r="AJ107" s="475" t="e">
        <f t="shared" si="7"/>
        <v>#N/A</v>
      </c>
      <c r="AK107" s="475" t="e">
        <f t="shared" si="8"/>
        <v>#N/A</v>
      </c>
      <c r="AL107" s="475" t="e">
        <f t="shared" si="9"/>
        <v>#N/A</v>
      </c>
      <c r="AM107" s="475" t="e">
        <f t="shared" si="10"/>
        <v>#N/A</v>
      </c>
      <c r="AN107" s="475" t="e">
        <f t="shared" si="11"/>
        <v>#N/A</v>
      </c>
      <c r="AO107" s="475" t="e">
        <f>INDEX('Tariff (hidden)'!$B$4:$B$133,MATCH(B107,'Tariff (hidden)'!$A$4:$A$133,0))</f>
        <v>#N/A</v>
      </c>
    </row>
    <row r="108" spans="1:41" x14ac:dyDescent="0.25">
      <c r="A108" s="110"/>
      <c r="B108" s="111"/>
      <c r="C108" s="112"/>
      <c r="D108" s="111"/>
      <c r="E108" s="545"/>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5"/>
      <c r="AI108" s="116" t="e">
        <f>IF(INDEX(TARIFF_TABLE[#All], MATCH($B108,TARIFF_TABLE[[#All],[Activity]],0),MATCH("ActivityType",TARIFF_TABLE[#Headers]))="Investigation",INDEX(TARIFF_TABLE[#All], MATCH($B108,TARIFF_TABLE[[#All],[Activity]],0),MATCH("Cost",TARIFF_TABLE[#Headers],0)),INDEX(Staff_Costs[#All],MATCH('Per-Participant Activities Arm1'!D108,Staff_Costs[[#All],[Role]],0),MATCH("Per-minute cost",Staff_Costs[#Headers],0))*'Per-Participant Activities Arm1'!C108)</f>
        <v>#N/A</v>
      </c>
      <c r="AJ108" s="475" t="e">
        <f t="shared" si="7"/>
        <v>#N/A</v>
      </c>
      <c r="AK108" s="475" t="e">
        <f t="shared" si="8"/>
        <v>#N/A</v>
      </c>
      <c r="AL108" s="475" t="e">
        <f t="shared" si="9"/>
        <v>#N/A</v>
      </c>
      <c r="AM108" s="475" t="e">
        <f t="shared" si="10"/>
        <v>#N/A</v>
      </c>
      <c r="AN108" s="475" t="e">
        <f t="shared" si="11"/>
        <v>#N/A</v>
      </c>
      <c r="AO108" s="475" t="e">
        <f>INDEX('Tariff (hidden)'!$B$4:$B$133,MATCH(B108,'Tariff (hidden)'!$A$4:$A$133,0))</f>
        <v>#N/A</v>
      </c>
    </row>
    <row r="109" spans="1:41" x14ac:dyDescent="0.25">
      <c r="A109" s="110"/>
      <c r="B109" s="111"/>
      <c r="C109" s="112"/>
      <c r="D109" s="111"/>
      <c r="E109" s="545"/>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5"/>
      <c r="AI109" s="116" t="e">
        <f>IF(INDEX(TARIFF_TABLE[#All], MATCH($B109,TARIFF_TABLE[[#All],[Activity]],0),MATCH("ActivityType",TARIFF_TABLE[#Headers]))="Investigation",INDEX(TARIFF_TABLE[#All], MATCH($B109,TARIFF_TABLE[[#All],[Activity]],0),MATCH("Cost",TARIFF_TABLE[#Headers],0)),INDEX(Staff_Costs[#All],MATCH('Per-Participant Activities Arm1'!D109,Staff_Costs[[#All],[Role]],0),MATCH("Per-minute cost",Staff_Costs[#Headers],0))*'Per-Participant Activities Arm1'!C109)</f>
        <v>#N/A</v>
      </c>
      <c r="AJ109" s="475" t="e">
        <f t="shared" si="7"/>
        <v>#N/A</v>
      </c>
      <c r="AK109" s="475" t="e">
        <f t="shared" si="8"/>
        <v>#N/A</v>
      </c>
      <c r="AL109" s="475" t="e">
        <f t="shared" si="9"/>
        <v>#N/A</v>
      </c>
      <c r="AM109" s="475" t="e">
        <f t="shared" si="10"/>
        <v>#N/A</v>
      </c>
      <c r="AN109" s="475" t="e">
        <f t="shared" si="11"/>
        <v>#N/A</v>
      </c>
      <c r="AO109" s="475" t="e">
        <f>INDEX('Tariff (hidden)'!$B$4:$B$133,MATCH(B109,'Tariff (hidden)'!$A$4:$A$133,0))</f>
        <v>#N/A</v>
      </c>
    </row>
    <row r="110" spans="1:41" x14ac:dyDescent="0.25">
      <c r="A110" s="110"/>
      <c r="B110" s="111"/>
      <c r="C110" s="112"/>
      <c r="D110" s="111"/>
      <c r="E110" s="545"/>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5"/>
      <c r="AI110" s="116" t="e">
        <f>IF(INDEX(TARIFF_TABLE[#All], MATCH($B110,TARIFF_TABLE[[#All],[Activity]],0),MATCH("ActivityType",TARIFF_TABLE[#Headers]))="Investigation",INDEX(TARIFF_TABLE[#All], MATCH($B110,TARIFF_TABLE[[#All],[Activity]],0),MATCH("Cost",TARIFF_TABLE[#Headers],0)),INDEX(Staff_Costs[#All],MATCH('Per-Participant Activities Arm1'!D110,Staff_Costs[[#All],[Role]],0),MATCH("Per-minute cost",Staff_Costs[#Headers],0))*'Per-Participant Activities Arm1'!C110)</f>
        <v>#N/A</v>
      </c>
      <c r="AJ110" s="475" t="e">
        <f t="shared" si="7"/>
        <v>#N/A</v>
      </c>
      <c r="AK110" s="475" t="e">
        <f t="shared" si="8"/>
        <v>#N/A</v>
      </c>
      <c r="AL110" s="475" t="e">
        <f t="shared" si="9"/>
        <v>#N/A</v>
      </c>
      <c r="AM110" s="475" t="e">
        <f t="shared" si="10"/>
        <v>#N/A</v>
      </c>
      <c r="AN110" s="475" t="e">
        <f t="shared" si="11"/>
        <v>#N/A</v>
      </c>
      <c r="AO110" s="478" t="e">
        <f>INDEX('Tariff (hidden)'!$B$4:$B$133,MATCH(B110,'Tariff (hidden)'!$A$4:$A$133,0))</f>
        <v>#N/A</v>
      </c>
    </row>
  </sheetData>
  <sheetProtection algorithmName="SHA-512" hashValue="908bj5ASpAqHVJ5w5X2Izx/pW2IvAembjNBKfs82ob6BiUKKkbt0nh9LKx29eA8W2u+sR1vUDZSnKODG9eqb4Q==" saltValue="j4ol+aNjGjph/L9gR4SLRw==" spinCount="100000" sheet="1" insertColumns="0"/>
  <mergeCells count="8">
    <mergeCell ref="N4:R4"/>
    <mergeCell ref="K4:L4"/>
    <mergeCell ref="G2:I2"/>
    <mergeCell ref="G3:H3"/>
    <mergeCell ref="K2:L2"/>
    <mergeCell ref="K3:L3"/>
    <mergeCell ref="N2:R2"/>
    <mergeCell ref="N3:R3"/>
  </mergeCells>
  <conditionalFormatting sqref="C10 C13:C63">
    <cfRule type="expression" dxfId="741" priority="5">
      <formula>IF($AO10="investigation",TRUE,FALSE)</formula>
    </cfRule>
  </conditionalFormatting>
  <conditionalFormatting sqref="C12">
    <cfRule type="expression" dxfId="740" priority="3">
      <formula>IF($AO12="investigation",TRUE,FALSE)</formula>
    </cfRule>
  </conditionalFormatting>
  <conditionalFormatting sqref="C11">
    <cfRule type="expression" dxfId="739" priority="2">
      <formula>IF($AO11="investigation",TRUE,FALSE)</formula>
    </cfRule>
  </conditionalFormatting>
  <conditionalFormatting sqref="C64:C110">
    <cfRule type="expression" dxfId="738" priority="1">
      <formula>IF($AO64="investigation",TRUE,FALSE)</formula>
    </cfRule>
  </conditionalFormatting>
  <dataValidations xWindow="1052" yWindow="575" count="7">
    <dataValidation type="list" allowBlank="1" showInputMessage="1" showErrorMessage="1" error="Please select options from drop down menu" promptTitle="Select role that best fits" prompt="e.g. select “medical staff” for activity undertaken by a medical doctor regardless of grade.  If necessary, provide detail in column E. " sqref="D11:D110 D10">
      <formula1>UNDERTAKEN_BY</formula1>
    </dataValidation>
    <dataValidation type="list" allowBlank="1" showInputMessage="1" showErrorMessage="1" prompt="Select a cost category from the drop-down list._x000a__x000a_Q3 in the Study Information tab MUST be completed for this list to appear. _x000a_" sqref="F10:AG110">
      <formula1>INDIRECT(SUBSTITUTE($AW$3," ","_"))</formula1>
    </dataValidation>
    <dataValidation type="list" allowBlank="1" showInputMessage="1" showErrorMessage="1" errorTitle="Drop Down" error="Please select item from drop down list. " promptTitle="Selecting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sqref="C10:C110">
      <formula1>0</formula1>
      <formula2>100000</formula2>
    </dataValidation>
    <dataValidation type="list" allowBlank="1" showInputMessage="1" showErrorMessage="1" errorTitle="Select from drop down" error="Please select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INSERT FREE TEXT." sqref="B10:B110">
      <formula1>INDIRECT(SUBSTITUTE($A10," ","_"))</formula1>
    </dataValidation>
    <dataValidation allowBlank="1" showInputMessage="1" showErrorMessage="1" error="Please select options from drop down menu" prompt="Please provide the specific staff type, job title, etc. of the person/s who will undertake this activity, if known" sqref="E10:E110"/>
    <dataValidation type="textLength" allowBlank="1" showInputMessage="1" showErrorMessage="1" error="Input limited to 100 characters including spaces" sqref="B5">
      <formula1>0</formula1>
      <formula2>100</formula2>
    </dataValidation>
  </dataValidations>
  <pageMargins left="0.51181102362204722" right="0.51181102362204722" top="0.74803149606299213" bottom="0.74803149606299213" header="0.31496062992125984" footer="0.31496062992125984"/>
  <pageSetup paperSize="9" scale="25" fitToWidth="3"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D201"/>
  <sheetViews>
    <sheetView showGridLines="0" zoomScaleNormal="100" workbookViewId="0">
      <selection activeCell="F13" sqref="F13"/>
    </sheetView>
  </sheetViews>
  <sheetFormatPr defaultColWidth="9.140625" defaultRowHeight="15" x14ac:dyDescent="0.25"/>
  <cols>
    <col min="1" max="2" width="44.7109375" style="8" customWidth="1"/>
    <col min="3" max="3" width="23.7109375" style="8" customWidth="1"/>
    <col min="4" max="4" width="17.7109375" style="20" customWidth="1"/>
    <col min="5" max="5" width="25.7109375" style="20" customWidth="1"/>
    <col min="6" max="6" width="23.7109375" style="8" customWidth="1"/>
    <col min="7" max="7" width="24.140625" style="8" customWidth="1"/>
    <col min="8" max="8" width="23.7109375" style="8" customWidth="1"/>
    <col min="9" max="9" width="26.140625" style="8" customWidth="1"/>
    <col min="10" max="10" width="26" style="8" customWidth="1"/>
    <col min="11" max="11" width="26.5703125" style="8" customWidth="1"/>
    <col min="12" max="13" width="24.42578125" style="8" customWidth="1"/>
    <col min="14" max="14" width="25.28515625" style="8" customWidth="1"/>
    <col min="15" max="15" width="24.85546875" style="8" customWidth="1"/>
    <col min="16" max="16" width="25" style="8" customWidth="1"/>
    <col min="17" max="33" width="24.7109375" style="8" customWidth="1"/>
    <col min="34" max="34" width="17.28515625" style="8" customWidth="1"/>
    <col min="35" max="35" width="18.42578125" style="8" customWidth="1"/>
    <col min="36" max="36" width="19" style="6" customWidth="1"/>
    <col min="37" max="38" width="22.5703125" style="6" customWidth="1"/>
    <col min="39" max="39" width="22.42578125" style="6" customWidth="1"/>
    <col min="40" max="40" width="21.28515625" style="6" customWidth="1"/>
    <col min="41" max="41" width="22.85546875" style="6" hidden="1" customWidth="1"/>
    <col min="42" max="42" width="16.85546875" style="6" customWidth="1"/>
    <col min="43" max="48" width="9.140625" style="6"/>
    <col min="49" max="49" width="0" style="6" hidden="1" customWidth="1"/>
    <col min="50" max="126" width="9.140625" style="6"/>
    <col min="127" max="16384" width="9.140625" style="8"/>
  </cols>
  <sheetData>
    <row r="1" spans="1:134"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134" ht="42.7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row>
    <row r="3" spans="1:134" ht="18"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W3" s="6" t="str">
        <f>'Study Information'!$B$11</f>
        <v>No</v>
      </c>
    </row>
    <row r="4" spans="1:134" s="85" customFormat="1" ht="18" customHeight="1" x14ac:dyDescent="0.25">
      <c r="A4" s="62" t="s">
        <v>174</v>
      </c>
      <c r="B4" s="76">
        <f>IRAS_REF</f>
        <v>281958</v>
      </c>
      <c r="C4" s="84"/>
      <c r="D4" s="13"/>
      <c r="E4" s="13"/>
      <c r="F4" s="12"/>
      <c r="G4" s="12"/>
      <c r="H4" s="12"/>
      <c r="I4" s="51"/>
      <c r="J4" s="13"/>
      <c r="K4" s="597"/>
      <c r="L4" s="598"/>
      <c r="M4" s="52"/>
      <c r="N4" s="595"/>
      <c r="O4" s="596"/>
      <c r="P4" s="596"/>
      <c r="Q4" s="596"/>
      <c r="R4" s="596"/>
      <c r="S4" s="13"/>
      <c r="T4" s="13"/>
      <c r="U4" s="13"/>
      <c r="V4" s="13"/>
      <c r="W4" s="13"/>
      <c r="X4" s="13"/>
      <c r="Y4" s="13"/>
      <c r="Z4" s="13"/>
      <c r="AA4" s="13"/>
      <c r="AB4" s="13"/>
      <c r="AC4" s="13"/>
      <c r="AD4" s="13"/>
      <c r="AE4" s="13"/>
      <c r="AF4" s="13"/>
      <c r="AG4" s="13"/>
      <c r="AH4" s="78"/>
      <c r="AI4" s="78"/>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row>
    <row r="5" spans="1:134" s="85" customFormat="1" ht="28.5" x14ac:dyDescent="0.2">
      <c r="A5" s="62" t="s">
        <v>688</v>
      </c>
      <c r="B5" s="578" t="s">
        <v>696</v>
      </c>
      <c r="C5" s="84"/>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78"/>
      <c r="AI5" s="78"/>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row>
    <row r="6" spans="1:134" s="85" customFormat="1" x14ac:dyDescent="0.25">
      <c r="A6" s="62" t="s">
        <v>347</v>
      </c>
      <c r="B6" s="465">
        <v>1500</v>
      </c>
      <c r="C6" s="86"/>
      <c r="D6" s="87"/>
      <c r="E6" s="87"/>
      <c r="F6" s="125" t="str">
        <f>IF(AW3=0,"Please complete Q3 in the 'Study Information' tab before completing column E onwards","")</f>
        <v/>
      </c>
      <c r="G6" s="87"/>
      <c r="H6" s="87"/>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80"/>
      <c r="AK6" s="603"/>
      <c r="AL6" s="603"/>
      <c r="AM6" s="603"/>
      <c r="AN6" s="603"/>
      <c r="AO6" s="603"/>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row>
    <row r="7" spans="1:134" s="85" customFormat="1" ht="18" customHeight="1" x14ac:dyDescent="0.2">
      <c r="A7" s="80"/>
      <c r="B7" s="80"/>
      <c r="C7" s="80"/>
      <c r="D7" s="88"/>
      <c r="E7" s="88"/>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row>
    <row r="8" spans="1:134" s="85" customFormat="1" ht="71.25" x14ac:dyDescent="0.2">
      <c r="A8" s="95" t="s">
        <v>513</v>
      </c>
      <c r="B8" s="96" t="s">
        <v>519</v>
      </c>
      <c r="C8" s="559"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row>
    <row r="9" spans="1:134" s="109" customFormat="1" ht="32.25" customHeight="1" x14ac:dyDescent="0.25">
      <c r="A9" s="101"/>
      <c r="B9" s="101"/>
      <c r="C9" s="547"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06"/>
      <c r="AM9" s="106"/>
      <c r="AN9" s="106"/>
      <c r="AO9" s="107"/>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row>
    <row r="10" spans="1:134" s="85" customFormat="1" ht="29.25" x14ac:dyDescent="0.25">
      <c r="A10" s="110" t="s">
        <v>235</v>
      </c>
      <c r="B10" s="111" t="s">
        <v>698</v>
      </c>
      <c r="C10" s="112">
        <v>10</v>
      </c>
      <c r="D10" s="111" t="s">
        <v>670</v>
      </c>
      <c r="E10" s="545"/>
      <c r="F10" s="113" t="s">
        <v>149</v>
      </c>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f>IF(INDEX(TARIFF_TABLE[#All], MATCH($B10,TARIFF_TABLE[[#All],[Activity]],0),MATCH("ActivityType",TARIFF_TABLE[#Headers]))="Investigation",INDEX(TARIFF_TABLE[#All], MATCH($B10,TARIFF_TABLE[[#All],[Activity]],0),MATCH("Cost",TARIFF_TABLE[#Headers],0)),INDEX(Staff_Costs[#All],MATCH('Per-Participant Activities Arm2'!D10,Staff_Costs[[#All],[Role]],0),MATCH("Per-minute cost",Staff_Costs[#Headers],0))*'Per-Participant Activities Arm2'!C10)</f>
        <v>14.7</v>
      </c>
      <c r="AJ10" s="117">
        <f t="shared" ref="AJ10:AN19" si="0">COUNTIF($F10:$AH10, AJ$8)*$AI10</f>
        <v>0</v>
      </c>
      <c r="AK10" s="117">
        <f t="shared" si="0"/>
        <v>0</v>
      </c>
      <c r="AL10" s="117">
        <f t="shared" si="0"/>
        <v>0</v>
      </c>
      <c r="AM10" s="117">
        <f t="shared" si="0"/>
        <v>14.7</v>
      </c>
      <c r="AN10" s="117">
        <f t="shared" si="0"/>
        <v>0</v>
      </c>
      <c r="AO10" s="220" t="str">
        <f t="shared" ref="AO10:AO41" si="1">INDEX(Tariff_Activity_Type,MATCH(B10,Tariff_Activity,0))</f>
        <v>Procedure</v>
      </c>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row>
    <row r="11" spans="1:134" s="85" customFormat="1" x14ac:dyDescent="0.25">
      <c r="A11" s="110" t="s">
        <v>228</v>
      </c>
      <c r="B11" s="111" t="s">
        <v>43</v>
      </c>
      <c r="C11" s="112">
        <v>1</v>
      </c>
      <c r="D11" s="111" t="s">
        <v>669</v>
      </c>
      <c r="E11" s="545"/>
      <c r="F11" s="113" t="s">
        <v>346</v>
      </c>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f>IF(INDEX(TARIFF_TABLE[#All], MATCH($B11,TARIFF_TABLE[[#All],[Activity]],0),MATCH("ActivityType",TARIFF_TABLE[#Headers]))="Investigation",INDEX(TARIFF_TABLE[#All], MATCH($B11,TARIFF_TABLE[[#All],[Activity]],0),MATCH("Cost",TARIFF_TABLE[#Headers],0)),INDEX(Staff_Costs[#All],MATCH('Per-Participant Activities Arm2'!D11,Staff_Costs[[#All],[Role]],0),MATCH("Per-minute cost",Staff_Costs[#Headers],0))*'Per-Participant Activities Arm2'!C11)</f>
        <v>0.35</v>
      </c>
      <c r="AJ11" s="117">
        <f t="shared" si="0"/>
        <v>0</v>
      </c>
      <c r="AK11" s="117">
        <f t="shared" si="0"/>
        <v>0</v>
      </c>
      <c r="AL11" s="117">
        <f t="shared" si="0"/>
        <v>0.35</v>
      </c>
      <c r="AM11" s="117">
        <f t="shared" si="0"/>
        <v>0</v>
      </c>
      <c r="AN11" s="117">
        <f t="shared" si="0"/>
        <v>0</v>
      </c>
      <c r="AO11" s="107" t="str">
        <f t="shared" si="1"/>
        <v>Procedure</v>
      </c>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row>
    <row r="12" spans="1:134" s="85" customFormat="1" x14ac:dyDescent="0.25">
      <c r="A12" s="110" t="s">
        <v>101</v>
      </c>
      <c r="B12" s="111" t="s">
        <v>178</v>
      </c>
      <c r="C12" s="112">
        <v>5</v>
      </c>
      <c r="D12" s="111" t="s">
        <v>670</v>
      </c>
      <c r="E12" s="545"/>
      <c r="F12" s="113" t="s">
        <v>150</v>
      </c>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f>IF(INDEX(TARIFF_TABLE[#All], MATCH($B12,TARIFF_TABLE[[#All],[Activity]],0),MATCH("ActivityType",TARIFF_TABLE[#Headers]))="Investigation",INDEX(TARIFF_TABLE[#All], MATCH($B12,TARIFF_TABLE[[#All],[Activity]],0),MATCH("Cost",TARIFF_TABLE[#Headers],0)),INDEX(Staff_Costs[#All],MATCH('Per-Participant Activities Arm2'!D12,Staff_Costs[[#All],[Role]],0),MATCH("Per-minute cost",Staff_Costs[#Headers],0))*'Per-Participant Activities Arm2'!C12)</f>
        <v>7.35</v>
      </c>
      <c r="AJ12" s="117">
        <f t="shared" si="0"/>
        <v>0</v>
      </c>
      <c r="AK12" s="117">
        <f t="shared" si="0"/>
        <v>0</v>
      </c>
      <c r="AL12" s="117">
        <f t="shared" si="0"/>
        <v>0</v>
      </c>
      <c r="AM12" s="117">
        <f t="shared" si="0"/>
        <v>0</v>
      </c>
      <c r="AN12" s="117">
        <f t="shared" si="0"/>
        <v>7.35</v>
      </c>
      <c r="AO12" s="107" t="str">
        <f t="shared" si="1"/>
        <v>Procedure</v>
      </c>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row>
    <row r="13" spans="1:134" s="119" customFormat="1" x14ac:dyDescent="0.25">
      <c r="A13" s="110"/>
      <c r="B13" s="118"/>
      <c r="C13" s="112"/>
      <c r="D13" s="118"/>
      <c r="E13" s="54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Arm2'!D13,Staff_Costs[[#All],[Role]],0),MATCH("Per-minute cost",Staff_Costs[#Headers],0))*'Per-Participant Activities Arm2'!C13)</f>
        <v>#N/A</v>
      </c>
      <c r="AJ13" s="117" t="e">
        <f t="shared" si="0"/>
        <v>#N/A</v>
      </c>
      <c r="AK13" s="117" t="e">
        <f t="shared" si="0"/>
        <v>#N/A</v>
      </c>
      <c r="AL13" s="117" t="e">
        <f t="shared" si="0"/>
        <v>#N/A</v>
      </c>
      <c r="AM13" s="117" t="e">
        <f t="shared" si="0"/>
        <v>#N/A</v>
      </c>
      <c r="AN13" s="117" t="e">
        <f t="shared" si="0"/>
        <v>#N/A</v>
      </c>
      <c r="AO13" s="107" t="e">
        <f t="shared" si="1"/>
        <v>#N/A</v>
      </c>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row>
    <row r="14" spans="1:134" s="85" customFormat="1" x14ac:dyDescent="0.25">
      <c r="A14" s="110"/>
      <c r="B14" s="118"/>
      <c r="C14" s="112"/>
      <c r="D14" s="118"/>
      <c r="E14" s="54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Arm2'!D14,Staff_Costs[[#All],[Role]],0),MATCH("Per-minute cost",Staff_Costs[#Headers],0))*'Per-Participant Activities Arm2'!C14)</f>
        <v>#N/A</v>
      </c>
      <c r="AJ14" s="117" t="e">
        <f t="shared" si="0"/>
        <v>#N/A</v>
      </c>
      <c r="AK14" s="117" t="e">
        <f t="shared" si="0"/>
        <v>#N/A</v>
      </c>
      <c r="AL14" s="117" t="e">
        <f t="shared" si="0"/>
        <v>#N/A</v>
      </c>
      <c r="AM14" s="117" t="e">
        <f t="shared" si="0"/>
        <v>#N/A</v>
      </c>
      <c r="AN14" s="117" t="e">
        <f t="shared" si="0"/>
        <v>#N/A</v>
      </c>
      <c r="AO14" s="107" t="e">
        <f t="shared" si="1"/>
        <v>#N/A</v>
      </c>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row>
    <row r="15" spans="1:134" s="119" customFormat="1" x14ac:dyDescent="0.25">
      <c r="A15" s="110"/>
      <c r="B15" s="118"/>
      <c r="C15" s="112"/>
      <c r="D15" s="118"/>
      <c r="E15" s="54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Arm2'!D15,Staff_Costs[[#All],[Role]],0),MATCH("Per-minute cost",Staff_Costs[#Headers],0))*'Per-Participant Activities Arm2'!C15)</f>
        <v>#N/A</v>
      </c>
      <c r="AJ15" s="117" t="e">
        <f t="shared" si="0"/>
        <v>#N/A</v>
      </c>
      <c r="AK15" s="117" t="e">
        <f t="shared" si="0"/>
        <v>#N/A</v>
      </c>
      <c r="AL15" s="117" t="e">
        <f t="shared" si="0"/>
        <v>#N/A</v>
      </c>
      <c r="AM15" s="117" t="e">
        <f t="shared" si="0"/>
        <v>#N/A</v>
      </c>
      <c r="AN15" s="117" t="e">
        <f t="shared" si="0"/>
        <v>#N/A</v>
      </c>
      <c r="AO15" s="107" t="e">
        <f t="shared" si="1"/>
        <v>#N/A</v>
      </c>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row>
    <row r="16" spans="1:134" s="85" customFormat="1" x14ac:dyDescent="0.25">
      <c r="A16" s="110"/>
      <c r="B16" s="118"/>
      <c r="C16" s="112"/>
      <c r="D16" s="118"/>
      <c r="E16" s="54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Arm2'!D16,Staff_Costs[[#All],[Role]],0),MATCH("Per-minute cost",Staff_Costs[#Headers],0))*'Per-Participant Activities Arm2'!C16)</f>
        <v>#N/A</v>
      </c>
      <c r="AJ16" s="117" t="e">
        <f t="shared" si="0"/>
        <v>#N/A</v>
      </c>
      <c r="AK16" s="117" t="e">
        <f t="shared" si="0"/>
        <v>#N/A</v>
      </c>
      <c r="AL16" s="117" t="e">
        <f t="shared" si="0"/>
        <v>#N/A</v>
      </c>
      <c r="AM16" s="117" t="e">
        <f t="shared" si="0"/>
        <v>#N/A</v>
      </c>
      <c r="AN16" s="117" t="e">
        <f t="shared" si="0"/>
        <v>#N/A</v>
      </c>
      <c r="AO16" s="107" t="e">
        <f t="shared" si="1"/>
        <v>#N/A</v>
      </c>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row>
    <row r="17" spans="1:125" s="85" customFormat="1" x14ac:dyDescent="0.25">
      <c r="A17" s="110"/>
      <c r="B17" s="118"/>
      <c r="C17" s="112"/>
      <c r="D17" s="118"/>
      <c r="E17" s="54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Arm2'!D17,Staff_Costs[[#All],[Role]],0),MATCH("Per-minute cost",Staff_Costs[#Headers],0))*'Per-Participant Activities Arm2'!C17)</f>
        <v>#N/A</v>
      </c>
      <c r="AJ17" s="117" t="e">
        <f t="shared" si="0"/>
        <v>#N/A</v>
      </c>
      <c r="AK17" s="117" t="e">
        <f t="shared" si="0"/>
        <v>#N/A</v>
      </c>
      <c r="AL17" s="117" t="e">
        <f t="shared" si="0"/>
        <v>#N/A</v>
      </c>
      <c r="AM17" s="117" t="e">
        <f t="shared" si="0"/>
        <v>#N/A</v>
      </c>
      <c r="AN17" s="117" t="e">
        <f t="shared" si="0"/>
        <v>#N/A</v>
      </c>
      <c r="AO17" s="107" t="e">
        <f t="shared" si="1"/>
        <v>#N/A</v>
      </c>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row>
    <row r="18" spans="1:125" s="85" customFormat="1" x14ac:dyDescent="0.25">
      <c r="A18" s="110"/>
      <c r="B18" s="118"/>
      <c r="C18" s="112"/>
      <c r="D18" s="118"/>
      <c r="E18" s="54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Arm2'!D18,Staff_Costs[[#All],[Role]],0),MATCH("Per-minute cost",Staff_Costs[#Headers],0))*'Per-Participant Activities Arm2'!C18)</f>
        <v>#N/A</v>
      </c>
      <c r="AJ18" s="117" t="e">
        <f t="shared" si="0"/>
        <v>#N/A</v>
      </c>
      <c r="AK18" s="117" t="e">
        <f t="shared" si="0"/>
        <v>#N/A</v>
      </c>
      <c r="AL18" s="117" t="e">
        <f t="shared" si="0"/>
        <v>#N/A</v>
      </c>
      <c r="AM18" s="117" t="e">
        <f t="shared" si="0"/>
        <v>#N/A</v>
      </c>
      <c r="AN18" s="117" t="e">
        <f t="shared" si="0"/>
        <v>#N/A</v>
      </c>
      <c r="AO18" s="107" t="e">
        <f t="shared" si="1"/>
        <v>#N/A</v>
      </c>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row>
    <row r="19" spans="1:125" s="85" customFormat="1" x14ac:dyDescent="0.25">
      <c r="A19" s="110"/>
      <c r="B19" s="111"/>
      <c r="C19" s="112"/>
      <c r="D19" s="111"/>
      <c r="E19" s="54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Arm2'!D19,Staff_Costs[[#All],[Role]],0),MATCH("Per-minute cost",Staff_Costs[#Headers],0))*'Per-Participant Activities Arm2'!C19)</f>
        <v>#N/A</v>
      </c>
      <c r="AJ19" s="117" t="e">
        <f t="shared" si="0"/>
        <v>#N/A</v>
      </c>
      <c r="AK19" s="117" t="e">
        <f t="shared" si="0"/>
        <v>#N/A</v>
      </c>
      <c r="AL19" s="117" t="e">
        <f t="shared" si="0"/>
        <v>#N/A</v>
      </c>
      <c r="AM19" s="117" t="e">
        <f t="shared" si="0"/>
        <v>#N/A</v>
      </c>
      <c r="AN19" s="117" t="e">
        <f t="shared" si="0"/>
        <v>#N/A</v>
      </c>
      <c r="AO19" s="107" t="e">
        <f t="shared" si="1"/>
        <v>#N/A</v>
      </c>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row>
    <row r="20" spans="1:125" s="119" customFormat="1" x14ac:dyDescent="0.25">
      <c r="A20" s="110"/>
      <c r="B20" s="111"/>
      <c r="C20" s="112"/>
      <c r="D20" s="111"/>
      <c r="E20" s="54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Arm2'!D20,Staff_Costs[[#All],[Role]],0),MATCH("Per-minute cost",Staff_Costs[#Headers],0))*'Per-Participant Activities Arm2'!C20)</f>
        <v>#N/A</v>
      </c>
      <c r="AJ20" s="117" t="e">
        <f t="shared" ref="AJ20:AN29" si="2">COUNTIF($F20:$AH20, AJ$8)*$AI20</f>
        <v>#N/A</v>
      </c>
      <c r="AK20" s="117" t="e">
        <f t="shared" si="2"/>
        <v>#N/A</v>
      </c>
      <c r="AL20" s="117" t="e">
        <f t="shared" si="2"/>
        <v>#N/A</v>
      </c>
      <c r="AM20" s="117" t="e">
        <f t="shared" si="2"/>
        <v>#N/A</v>
      </c>
      <c r="AN20" s="117" t="e">
        <f t="shared" si="2"/>
        <v>#N/A</v>
      </c>
      <c r="AO20" s="107" t="e">
        <f t="shared" si="1"/>
        <v>#N/A</v>
      </c>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row>
    <row r="21" spans="1:125" s="85" customFormat="1" x14ac:dyDescent="0.25">
      <c r="A21" s="110"/>
      <c r="B21" s="111"/>
      <c r="C21" s="112"/>
      <c r="D21" s="111"/>
      <c r="E21" s="54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Arm2'!D21,Staff_Costs[[#All],[Role]],0),MATCH("Per-minute cost",Staff_Costs[#Headers],0))*'Per-Participant Activities Arm2'!C21)</f>
        <v>#N/A</v>
      </c>
      <c r="AJ21" s="117" t="e">
        <f t="shared" si="2"/>
        <v>#N/A</v>
      </c>
      <c r="AK21" s="117" t="e">
        <f t="shared" si="2"/>
        <v>#N/A</v>
      </c>
      <c r="AL21" s="117" t="e">
        <f t="shared" si="2"/>
        <v>#N/A</v>
      </c>
      <c r="AM21" s="117" t="e">
        <f t="shared" si="2"/>
        <v>#N/A</v>
      </c>
      <c r="AN21" s="117" t="e">
        <f t="shared" si="2"/>
        <v>#N/A</v>
      </c>
      <c r="AO21" s="107" t="e">
        <f t="shared" si="1"/>
        <v>#N/A</v>
      </c>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row>
    <row r="22" spans="1:125" s="85" customFormat="1" x14ac:dyDescent="0.25">
      <c r="A22" s="110"/>
      <c r="B22" s="111"/>
      <c r="C22" s="112"/>
      <c r="D22" s="111"/>
      <c r="E22" s="54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Arm2'!D22,Staff_Costs[[#All],[Role]],0),MATCH("Per-minute cost",Staff_Costs[#Headers],0))*'Per-Participant Activities Arm2'!C22)</f>
        <v>#N/A</v>
      </c>
      <c r="AJ22" s="117" t="e">
        <f t="shared" si="2"/>
        <v>#N/A</v>
      </c>
      <c r="AK22" s="117" t="e">
        <f t="shared" si="2"/>
        <v>#N/A</v>
      </c>
      <c r="AL22" s="117" t="e">
        <f t="shared" si="2"/>
        <v>#N/A</v>
      </c>
      <c r="AM22" s="117" t="e">
        <f t="shared" si="2"/>
        <v>#N/A</v>
      </c>
      <c r="AN22" s="117" t="e">
        <f t="shared" si="2"/>
        <v>#N/A</v>
      </c>
      <c r="AO22" s="107" t="e">
        <f t="shared" si="1"/>
        <v>#N/A</v>
      </c>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row>
    <row r="23" spans="1:125" s="85" customFormat="1" x14ac:dyDescent="0.25">
      <c r="A23" s="110"/>
      <c r="B23" s="111"/>
      <c r="C23" s="112"/>
      <c r="D23" s="111"/>
      <c r="E23" s="54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Arm2'!D23,Staff_Costs[[#All],[Role]],0),MATCH("Per-minute cost",Staff_Costs[#Headers],0))*'Per-Participant Activities Arm2'!C23)</f>
        <v>#N/A</v>
      </c>
      <c r="AJ23" s="117" t="e">
        <f t="shared" si="2"/>
        <v>#N/A</v>
      </c>
      <c r="AK23" s="117" t="e">
        <f t="shared" si="2"/>
        <v>#N/A</v>
      </c>
      <c r="AL23" s="117" t="e">
        <f t="shared" si="2"/>
        <v>#N/A</v>
      </c>
      <c r="AM23" s="117" t="e">
        <f t="shared" si="2"/>
        <v>#N/A</v>
      </c>
      <c r="AN23" s="117" t="e">
        <f t="shared" si="2"/>
        <v>#N/A</v>
      </c>
      <c r="AO23" s="107" t="e">
        <f t="shared" si="1"/>
        <v>#N/A</v>
      </c>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row>
    <row r="24" spans="1:125" s="85" customFormat="1" x14ac:dyDescent="0.25">
      <c r="A24" s="110"/>
      <c r="B24" s="111"/>
      <c r="C24" s="112"/>
      <c r="D24" s="111"/>
      <c r="E24" s="54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Arm2'!D24,Staff_Costs[[#All],[Role]],0),MATCH("Per-minute cost",Staff_Costs[#Headers],0))*'Per-Participant Activities Arm2'!C24)</f>
        <v>#N/A</v>
      </c>
      <c r="AJ24" s="117" t="e">
        <f t="shared" si="2"/>
        <v>#N/A</v>
      </c>
      <c r="AK24" s="117" t="e">
        <f t="shared" si="2"/>
        <v>#N/A</v>
      </c>
      <c r="AL24" s="117" t="e">
        <f t="shared" si="2"/>
        <v>#N/A</v>
      </c>
      <c r="AM24" s="117" t="e">
        <f t="shared" si="2"/>
        <v>#N/A</v>
      </c>
      <c r="AN24" s="117" t="e">
        <f t="shared" si="2"/>
        <v>#N/A</v>
      </c>
      <c r="AO24" s="107" t="e">
        <f t="shared" si="1"/>
        <v>#N/A</v>
      </c>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row>
    <row r="25" spans="1:125" s="85" customFormat="1" x14ac:dyDescent="0.25">
      <c r="A25" s="110"/>
      <c r="B25" s="111"/>
      <c r="C25" s="112"/>
      <c r="D25" s="111"/>
      <c r="E25" s="54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Arm2'!D25,Staff_Costs[[#All],[Role]],0),MATCH("Per-minute cost",Staff_Costs[#Headers],0))*'Per-Participant Activities Arm2'!C25)</f>
        <v>#N/A</v>
      </c>
      <c r="AJ25" s="117" t="e">
        <f t="shared" si="2"/>
        <v>#N/A</v>
      </c>
      <c r="AK25" s="117" t="e">
        <f t="shared" si="2"/>
        <v>#N/A</v>
      </c>
      <c r="AL25" s="117" t="e">
        <f t="shared" si="2"/>
        <v>#N/A</v>
      </c>
      <c r="AM25" s="117" t="e">
        <f t="shared" si="2"/>
        <v>#N/A</v>
      </c>
      <c r="AN25" s="117" t="e">
        <f t="shared" si="2"/>
        <v>#N/A</v>
      </c>
      <c r="AO25" s="107" t="e">
        <f t="shared" si="1"/>
        <v>#N/A</v>
      </c>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row>
    <row r="26" spans="1:125" s="85" customFormat="1" x14ac:dyDescent="0.25">
      <c r="A26" s="110"/>
      <c r="B26" s="111"/>
      <c r="C26" s="112"/>
      <c r="D26" s="111"/>
      <c r="E26" s="54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Arm2'!D26,Staff_Costs[[#All],[Role]],0),MATCH("Per-minute cost",Staff_Costs[#Headers],0))*'Per-Participant Activities Arm2'!C26)</f>
        <v>#N/A</v>
      </c>
      <c r="AJ26" s="117" t="e">
        <f t="shared" si="2"/>
        <v>#N/A</v>
      </c>
      <c r="AK26" s="117" t="e">
        <f t="shared" si="2"/>
        <v>#N/A</v>
      </c>
      <c r="AL26" s="117" t="e">
        <f t="shared" si="2"/>
        <v>#N/A</v>
      </c>
      <c r="AM26" s="117" t="e">
        <f t="shared" si="2"/>
        <v>#N/A</v>
      </c>
      <c r="AN26" s="117" t="e">
        <f t="shared" si="2"/>
        <v>#N/A</v>
      </c>
      <c r="AO26" s="107" t="e">
        <f t="shared" si="1"/>
        <v>#N/A</v>
      </c>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row>
    <row r="27" spans="1:125" s="85" customFormat="1" x14ac:dyDescent="0.25">
      <c r="A27" s="110"/>
      <c r="B27" s="111"/>
      <c r="C27" s="112"/>
      <c r="D27" s="111"/>
      <c r="E27" s="54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Arm2'!D27,Staff_Costs[[#All],[Role]],0),MATCH("Per-minute cost",Staff_Costs[#Headers],0))*'Per-Participant Activities Arm2'!C27)</f>
        <v>#N/A</v>
      </c>
      <c r="AJ27" s="117" t="e">
        <f t="shared" si="2"/>
        <v>#N/A</v>
      </c>
      <c r="AK27" s="117" t="e">
        <f t="shared" si="2"/>
        <v>#N/A</v>
      </c>
      <c r="AL27" s="117" t="e">
        <f t="shared" si="2"/>
        <v>#N/A</v>
      </c>
      <c r="AM27" s="117" t="e">
        <f t="shared" si="2"/>
        <v>#N/A</v>
      </c>
      <c r="AN27" s="117" t="e">
        <f t="shared" si="2"/>
        <v>#N/A</v>
      </c>
      <c r="AO27" s="107" t="e">
        <f t="shared" si="1"/>
        <v>#N/A</v>
      </c>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row>
    <row r="28" spans="1:125" s="85" customFormat="1" x14ac:dyDescent="0.25">
      <c r="A28" s="110"/>
      <c r="B28" s="111"/>
      <c r="C28" s="112"/>
      <c r="D28" s="111"/>
      <c r="E28" s="54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Arm2'!D28,Staff_Costs[[#All],[Role]],0),MATCH("Per-minute cost",Staff_Costs[#Headers],0))*'Per-Participant Activities Arm2'!C28)</f>
        <v>#N/A</v>
      </c>
      <c r="AJ28" s="117" t="e">
        <f t="shared" si="2"/>
        <v>#N/A</v>
      </c>
      <c r="AK28" s="117" t="e">
        <f t="shared" si="2"/>
        <v>#N/A</v>
      </c>
      <c r="AL28" s="117" t="e">
        <f t="shared" si="2"/>
        <v>#N/A</v>
      </c>
      <c r="AM28" s="117" t="e">
        <f t="shared" si="2"/>
        <v>#N/A</v>
      </c>
      <c r="AN28" s="117" t="e">
        <f t="shared" si="2"/>
        <v>#N/A</v>
      </c>
      <c r="AO28" s="107" t="e">
        <f t="shared" si="1"/>
        <v>#N/A</v>
      </c>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row>
    <row r="29" spans="1:125" s="85" customFormat="1" x14ac:dyDescent="0.25">
      <c r="A29" s="110"/>
      <c r="B29" s="111"/>
      <c r="C29" s="112"/>
      <c r="D29" s="111"/>
      <c r="E29" s="54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Arm2'!D29,Staff_Costs[[#All],[Role]],0),MATCH("Per-minute cost",Staff_Costs[#Headers],0))*'Per-Participant Activities Arm2'!C29)</f>
        <v>#N/A</v>
      </c>
      <c r="AJ29" s="117" t="e">
        <f t="shared" si="2"/>
        <v>#N/A</v>
      </c>
      <c r="AK29" s="117" t="e">
        <f t="shared" si="2"/>
        <v>#N/A</v>
      </c>
      <c r="AL29" s="117" t="e">
        <f t="shared" si="2"/>
        <v>#N/A</v>
      </c>
      <c r="AM29" s="117" t="e">
        <f t="shared" si="2"/>
        <v>#N/A</v>
      </c>
      <c r="AN29" s="117" t="e">
        <f t="shared" si="2"/>
        <v>#N/A</v>
      </c>
      <c r="AO29" s="107" t="e">
        <f t="shared" si="1"/>
        <v>#N/A</v>
      </c>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row>
    <row r="30" spans="1:125" s="85" customFormat="1" x14ac:dyDescent="0.25">
      <c r="A30" s="110"/>
      <c r="B30" s="111"/>
      <c r="C30" s="112"/>
      <c r="D30" s="111"/>
      <c r="E30" s="54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Arm2'!D30,Staff_Costs[[#All],[Role]],0),MATCH("Per-minute cost",Staff_Costs[#Headers],0))*'Per-Participant Activities Arm2'!C30)</f>
        <v>#N/A</v>
      </c>
      <c r="AJ30" s="117" t="e">
        <f t="shared" ref="AJ30:AN39" si="3">COUNTIF($F30:$AH30, AJ$8)*$AI30</f>
        <v>#N/A</v>
      </c>
      <c r="AK30" s="117" t="e">
        <f t="shared" si="3"/>
        <v>#N/A</v>
      </c>
      <c r="AL30" s="117" t="e">
        <f t="shared" si="3"/>
        <v>#N/A</v>
      </c>
      <c r="AM30" s="117" t="e">
        <f t="shared" si="3"/>
        <v>#N/A</v>
      </c>
      <c r="AN30" s="117" t="e">
        <f t="shared" si="3"/>
        <v>#N/A</v>
      </c>
      <c r="AO30" s="107" t="e">
        <f t="shared" si="1"/>
        <v>#N/A</v>
      </c>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row>
    <row r="31" spans="1:125" s="85" customFormat="1" x14ac:dyDescent="0.25">
      <c r="A31" s="110"/>
      <c r="B31" s="111"/>
      <c r="C31" s="112"/>
      <c r="D31" s="111"/>
      <c r="E31" s="54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Arm2'!D31,Staff_Costs[[#All],[Role]],0),MATCH("Per-minute cost",Staff_Costs[#Headers],0))*'Per-Participant Activities Arm2'!C31)</f>
        <v>#N/A</v>
      </c>
      <c r="AJ31" s="117" t="e">
        <f t="shared" si="3"/>
        <v>#N/A</v>
      </c>
      <c r="AK31" s="117" t="e">
        <f t="shared" si="3"/>
        <v>#N/A</v>
      </c>
      <c r="AL31" s="117" t="e">
        <f t="shared" si="3"/>
        <v>#N/A</v>
      </c>
      <c r="AM31" s="117" t="e">
        <f t="shared" si="3"/>
        <v>#N/A</v>
      </c>
      <c r="AN31" s="117" t="e">
        <f t="shared" si="3"/>
        <v>#N/A</v>
      </c>
      <c r="AO31" s="107" t="e">
        <f t="shared" si="1"/>
        <v>#N/A</v>
      </c>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row>
    <row r="32" spans="1:125" s="85" customFormat="1" x14ac:dyDescent="0.25">
      <c r="A32" s="110"/>
      <c r="B32" s="111"/>
      <c r="C32" s="112"/>
      <c r="D32" s="111"/>
      <c r="E32" s="54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Arm2'!D32,Staff_Costs[[#All],[Role]],0),MATCH("Per-minute cost",Staff_Costs[#Headers],0))*'Per-Participant Activities Arm2'!C32)</f>
        <v>#N/A</v>
      </c>
      <c r="AJ32" s="117" t="e">
        <f t="shared" si="3"/>
        <v>#N/A</v>
      </c>
      <c r="AK32" s="117" t="e">
        <f t="shared" si="3"/>
        <v>#N/A</v>
      </c>
      <c r="AL32" s="117" t="e">
        <f t="shared" si="3"/>
        <v>#N/A</v>
      </c>
      <c r="AM32" s="117" t="e">
        <f t="shared" si="3"/>
        <v>#N/A</v>
      </c>
      <c r="AN32" s="117" t="e">
        <f t="shared" si="3"/>
        <v>#N/A</v>
      </c>
      <c r="AO32" s="107" t="e">
        <f t="shared" si="1"/>
        <v>#N/A</v>
      </c>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row>
    <row r="33" spans="1:125" s="85" customFormat="1" x14ac:dyDescent="0.25">
      <c r="A33" s="110"/>
      <c r="B33" s="111"/>
      <c r="C33" s="112"/>
      <c r="D33" s="111"/>
      <c r="E33" s="54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Arm2'!D33,Staff_Costs[[#All],[Role]],0),MATCH("Per-minute cost",Staff_Costs[#Headers],0))*'Per-Participant Activities Arm2'!C33)</f>
        <v>#N/A</v>
      </c>
      <c r="AJ33" s="117" t="e">
        <f t="shared" si="3"/>
        <v>#N/A</v>
      </c>
      <c r="AK33" s="117" t="e">
        <f t="shared" si="3"/>
        <v>#N/A</v>
      </c>
      <c r="AL33" s="117" t="e">
        <f t="shared" si="3"/>
        <v>#N/A</v>
      </c>
      <c r="AM33" s="117" t="e">
        <f t="shared" si="3"/>
        <v>#N/A</v>
      </c>
      <c r="AN33" s="117" t="e">
        <f t="shared" si="3"/>
        <v>#N/A</v>
      </c>
      <c r="AO33" s="107" t="e">
        <f t="shared" si="1"/>
        <v>#N/A</v>
      </c>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row>
    <row r="34" spans="1:125" s="85" customFormat="1" x14ac:dyDescent="0.25">
      <c r="A34" s="110"/>
      <c r="B34" s="111"/>
      <c r="C34" s="112"/>
      <c r="D34" s="111"/>
      <c r="E34" s="54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Arm2'!D34,Staff_Costs[[#All],[Role]],0),MATCH("Per-minute cost",Staff_Costs[#Headers],0))*'Per-Participant Activities Arm2'!C34)</f>
        <v>#N/A</v>
      </c>
      <c r="AJ34" s="117" t="e">
        <f t="shared" si="3"/>
        <v>#N/A</v>
      </c>
      <c r="AK34" s="117" t="e">
        <f t="shared" si="3"/>
        <v>#N/A</v>
      </c>
      <c r="AL34" s="117" t="e">
        <f t="shared" si="3"/>
        <v>#N/A</v>
      </c>
      <c r="AM34" s="117" t="e">
        <f t="shared" si="3"/>
        <v>#N/A</v>
      </c>
      <c r="AN34" s="117" t="e">
        <f t="shared" si="3"/>
        <v>#N/A</v>
      </c>
      <c r="AO34" s="107" t="e">
        <f t="shared" si="1"/>
        <v>#N/A</v>
      </c>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row>
    <row r="35" spans="1:125" s="85" customFormat="1" x14ac:dyDescent="0.25">
      <c r="A35" s="110"/>
      <c r="B35" s="111"/>
      <c r="C35" s="112"/>
      <c r="D35" s="111"/>
      <c r="E35" s="54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Arm2'!D35,Staff_Costs[[#All],[Role]],0),MATCH("Per-minute cost",Staff_Costs[#Headers],0))*'Per-Participant Activities Arm2'!C35)</f>
        <v>#N/A</v>
      </c>
      <c r="AJ35" s="117" t="e">
        <f t="shared" si="3"/>
        <v>#N/A</v>
      </c>
      <c r="AK35" s="117" t="e">
        <f t="shared" si="3"/>
        <v>#N/A</v>
      </c>
      <c r="AL35" s="117" t="e">
        <f t="shared" si="3"/>
        <v>#N/A</v>
      </c>
      <c r="AM35" s="117" t="e">
        <f t="shared" si="3"/>
        <v>#N/A</v>
      </c>
      <c r="AN35" s="117" t="e">
        <f t="shared" si="3"/>
        <v>#N/A</v>
      </c>
      <c r="AO35" s="107" t="e">
        <f t="shared" si="1"/>
        <v>#N/A</v>
      </c>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row>
    <row r="36" spans="1:125" s="85" customFormat="1" x14ac:dyDescent="0.25">
      <c r="A36" s="110"/>
      <c r="B36" s="111"/>
      <c r="C36" s="112"/>
      <c r="D36" s="111"/>
      <c r="E36" s="54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Arm2'!D36,Staff_Costs[[#All],[Role]],0),MATCH("Per-minute cost",Staff_Costs[#Headers],0))*'Per-Participant Activities Arm2'!C36)</f>
        <v>#N/A</v>
      </c>
      <c r="AJ36" s="117" t="e">
        <f t="shared" si="3"/>
        <v>#N/A</v>
      </c>
      <c r="AK36" s="117" t="e">
        <f t="shared" si="3"/>
        <v>#N/A</v>
      </c>
      <c r="AL36" s="117" t="e">
        <f t="shared" si="3"/>
        <v>#N/A</v>
      </c>
      <c r="AM36" s="117" t="e">
        <f t="shared" si="3"/>
        <v>#N/A</v>
      </c>
      <c r="AN36" s="117" t="e">
        <f t="shared" si="3"/>
        <v>#N/A</v>
      </c>
      <c r="AO36" s="107" t="e">
        <f t="shared" si="1"/>
        <v>#N/A</v>
      </c>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row>
    <row r="37" spans="1:125" s="85" customFormat="1" x14ac:dyDescent="0.25">
      <c r="A37" s="110"/>
      <c r="B37" s="111"/>
      <c r="C37" s="112"/>
      <c r="D37" s="111"/>
      <c r="E37" s="54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Arm2'!D37,Staff_Costs[[#All],[Role]],0),MATCH("Per-minute cost",Staff_Costs[#Headers],0))*'Per-Participant Activities Arm2'!C37)</f>
        <v>#N/A</v>
      </c>
      <c r="AJ37" s="117" t="e">
        <f t="shared" si="3"/>
        <v>#N/A</v>
      </c>
      <c r="AK37" s="117" t="e">
        <f t="shared" si="3"/>
        <v>#N/A</v>
      </c>
      <c r="AL37" s="117" t="e">
        <f t="shared" si="3"/>
        <v>#N/A</v>
      </c>
      <c r="AM37" s="117" t="e">
        <f t="shared" si="3"/>
        <v>#N/A</v>
      </c>
      <c r="AN37" s="117" t="e">
        <f t="shared" si="3"/>
        <v>#N/A</v>
      </c>
      <c r="AO37" s="107" t="e">
        <f t="shared" si="1"/>
        <v>#N/A</v>
      </c>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row>
    <row r="38" spans="1:125" s="85" customFormat="1" x14ac:dyDescent="0.25">
      <c r="A38" s="110"/>
      <c r="B38" s="111"/>
      <c r="C38" s="112"/>
      <c r="D38" s="111"/>
      <c r="E38" s="54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Arm2'!D38,Staff_Costs[[#All],[Role]],0),MATCH("Per-minute cost",Staff_Costs[#Headers],0))*'Per-Participant Activities Arm2'!C38)</f>
        <v>#N/A</v>
      </c>
      <c r="AJ38" s="117" t="e">
        <f t="shared" si="3"/>
        <v>#N/A</v>
      </c>
      <c r="AK38" s="117" t="e">
        <f t="shared" si="3"/>
        <v>#N/A</v>
      </c>
      <c r="AL38" s="117" t="e">
        <f t="shared" si="3"/>
        <v>#N/A</v>
      </c>
      <c r="AM38" s="117" t="e">
        <f t="shared" si="3"/>
        <v>#N/A</v>
      </c>
      <c r="AN38" s="117" t="e">
        <f t="shared" si="3"/>
        <v>#N/A</v>
      </c>
      <c r="AO38" s="107" t="e">
        <f t="shared" si="1"/>
        <v>#N/A</v>
      </c>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row>
    <row r="39" spans="1:125" s="85" customFormat="1" x14ac:dyDescent="0.25">
      <c r="A39" s="110"/>
      <c r="B39" s="111"/>
      <c r="C39" s="112"/>
      <c r="D39" s="111"/>
      <c r="E39" s="54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Arm2'!D39,Staff_Costs[[#All],[Role]],0),MATCH("Per-minute cost",Staff_Costs[#Headers],0))*'Per-Participant Activities Arm2'!C39)</f>
        <v>#N/A</v>
      </c>
      <c r="AJ39" s="117" t="e">
        <f t="shared" si="3"/>
        <v>#N/A</v>
      </c>
      <c r="AK39" s="117" t="e">
        <f t="shared" si="3"/>
        <v>#N/A</v>
      </c>
      <c r="AL39" s="117" t="e">
        <f t="shared" si="3"/>
        <v>#N/A</v>
      </c>
      <c r="AM39" s="117" t="e">
        <f t="shared" si="3"/>
        <v>#N/A</v>
      </c>
      <c r="AN39" s="117" t="e">
        <f t="shared" si="3"/>
        <v>#N/A</v>
      </c>
      <c r="AO39" s="107" t="e">
        <f t="shared" si="1"/>
        <v>#N/A</v>
      </c>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row>
    <row r="40" spans="1:125" s="85" customFormat="1" x14ac:dyDescent="0.25">
      <c r="A40" s="110"/>
      <c r="B40" s="111"/>
      <c r="C40" s="112"/>
      <c r="D40" s="111"/>
      <c r="E40" s="54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Arm2'!D40,Staff_Costs[[#All],[Role]],0),MATCH("Per-minute cost",Staff_Costs[#Headers],0))*'Per-Participant Activities Arm2'!C40)</f>
        <v>#N/A</v>
      </c>
      <c r="AJ40" s="117" t="e">
        <f t="shared" ref="AJ40:AN49" si="4">COUNTIF($F40:$AH40, AJ$8)*$AI40</f>
        <v>#N/A</v>
      </c>
      <c r="AK40" s="117" t="e">
        <f t="shared" si="4"/>
        <v>#N/A</v>
      </c>
      <c r="AL40" s="117" t="e">
        <f t="shared" si="4"/>
        <v>#N/A</v>
      </c>
      <c r="AM40" s="117" t="e">
        <f t="shared" si="4"/>
        <v>#N/A</v>
      </c>
      <c r="AN40" s="117" t="e">
        <f t="shared" si="4"/>
        <v>#N/A</v>
      </c>
      <c r="AO40" s="107" t="e">
        <f t="shared" si="1"/>
        <v>#N/A</v>
      </c>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row>
    <row r="41" spans="1:125" s="85" customFormat="1" x14ac:dyDescent="0.25">
      <c r="A41" s="110"/>
      <c r="B41" s="111"/>
      <c r="C41" s="112"/>
      <c r="D41" s="111"/>
      <c r="E41" s="54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Arm2'!D41,Staff_Costs[[#All],[Role]],0),MATCH("Per-minute cost",Staff_Costs[#Headers],0))*'Per-Participant Activities Arm2'!C41)</f>
        <v>#N/A</v>
      </c>
      <c r="AJ41" s="117" t="e">
        <f t="shared" si="4"/>
        <v>#N/A</v>
      </c>
      <c r="AK41" s="117" t="e">
        <f t="shared" si="4"/>
        <v>#N/A</v>
      </c>
      <c r="AL41" s="117" t="e">
        <f t="shared" si="4"/>
        <v>#N/A</v>
      </c>
      <c r="AM41" s="117" t="e">
        <f t="shared" si="4"/>
        <v>#N/A</v>
      </c>
      <c r="AN41" s="117" t="e">
        <f t="shared" si="4"/>
        <v>#N/A</v>
      </c>
      <c r="AO41" s="107" t="e">
        <f t="shared" si="1"/>
        <v>#N/A</v>
      </c>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row>
    <row r="42" spans="1:125" s="85" customFormat="1" x14ac:dyDescent="0.25">
      <c r="A42" s="110"/>
      <c r="B42" s="111"/>
      <c r="C42" s="112"/>
      <c r="D42" s="111"/>
      <c r="E42" s="54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Arm2'!D42,Staff_Costs[[#All],[Role]],0),MATCH("Per-minute cost",Staff_Costs[#Headers],0))*'Per-Participant Activities Arm2'!C42)</f>
        <v>#N/A</v>
      </c>
      <c r="AJ42" s="117" t="e">
        <f t="shared" si="4"/>
        <v>#N/A</v>
      </c>
      <c r="AK42" s="117" t="e">
        <f t="shared" si="4"/>
        <v>#N/A</v>
      </c>
      <c r="AL42" s="117" t="e">
        <f t="shared" si="4"/>
        <v>#N/A</v>
      </c>
      <c r="AM42" s="117" t="e">
        <f t="shared" si="4"/>
        <v>#N/A</v>
      </c>
      <c r="AN42" s="117" t="e">
        <f t="shared" si="4"/>
        <v>#N/A</v>
      </c>
      <c r="AO42" s="107" t="e">
        <f t="shared" ref="AO42:AO63" si="5">INDEX(Tariff_Activity_Type,MATCH(B42,Tariff_Activity,0))</f>
        <v>#N/A</v>
      </c>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row>
    <row r="43" spans="1:125" s="85" customFormat="1" x14ac:dyDescent="0.25">
      <c r="A43" s="110"/>
      <c r="B43" s="111"/>
      <c r="C43" s="112"/>
      <c r="D43" s="111"/>
      <c r="E43" s="54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Arm2'!D43,Staff_Costs[[#All],[Role]],0),MATCH("Per-minute cost",Staff_Costs[#Headers],0))*'Per-Participant Activities Arm2'!C43)</f>
        <v>#N/A</v>
      </c>
      <c r="AJ43" s="117" t="e">
        <f t="shared" si="4"/>
        <v>#N/A</v>
      </c>
      <c r="AK43" s="117" t="e">
        <f t="shared" si="4"/>
        <v>#N/A</v>
      </c>
      <c r="AL43" s="117" t="e">
        <f t="shared" si="4"/>
        <v>#N/A</v>
      </c>
      <c r="AM43" s="117" t="e">
        <f t="shared" si="4"/>
        <v>#N/A</v>
      </c>
      <c r="AN43" s="117" t="e">
        <f t="shared" si="4"/>
        <v>#N/A</v>
      </c>
      <c r="AO43" s="107" t="e">
        <f t="shared" si="5"/>
        <v>#N/A</v>
      </c>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row>
    <row r="44" spans="1:125" s="85" customFormat="1" x14ac:dyDescent="0.25">
      <c r="A44" s="110"/>
      <c r="B44" s="111"/>
      <c r="C44" s="112"/>
      <c r="D44" s="111"/>
      <c r="E44" s="54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Arm2'!D44,Staff_Costs[[#All],[Role]],0),MATCH("Per-minute cost",Staff_Costs[#Headers],0))*'Per-Participant Activities Arm2'!C44)</f>
        <v>#N/A</v>
      </c>
      <c r="AJ44" s="117" t="e">
        <f t="shared" si="4"/>
        <v>#N/A</v>
      </c>
      <c r="AK44" s="117" t="e">
        <f t="shared" si="4"/>
        <v>#N/A</v>
      </c>
      <c r="AL44" s="117" t="e">
        <f t="shared" si="4"/>
        <v>#N/A</v>
      </c>
      <c r="AM44" s="117" t="e">
        <f t="shared" si="4"/>
        <v>#N/A</v>
      </c>
      <c r="AN44" s="117" t="e">
        <f t="shared" si="4"/>
        <v>#N/A</v>
      </c>
      <c r="AO44" s="107" t="e">
        <f t="shared" si="5"/>
        <v>#N/A</v>
      </c>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row>
    <row r="45" spans="1:125" s="85" customFormat="1" x14ac:dyDescent="0.25">
      <c r="A45" s="110"/>
      <c r="B45" s="111"/>
      <c r="C45" s="112"/>
      <c r="D45" s="111"/>
      <c r="E45" s="54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Arm2'!D45,Staff_Costs[[#All],[Role]],0),MATCH("Per-minute cost",Staff_Costs[#Headers],0))*'Per-Participant Activities Arm2'!C45)</f>
        <v>#N/A</v>
      </c>
      <c r="AJ45" s="117" t="e">
        <f t="shared" si="4"/>
        <v>#N/A</v>
      </c>
      <c r="AK45" s="117" t="e">
        <f t="shared" si="4"/>
        <v>#N/A</v>
      </c>
      <c r="AL45" s="117" t="e">
        <f t="shared" si="4"/>
        <v>#N/A</v>
      </c>
      <c r="AM45" s="117" t="e">
        <f t="shared" si="4"/>
        <v>#N/A</v>
      </c>
      <c r="AN45" s="117" t="e">
        <f t="shared" si="4"/>
        <v>#N/A</v>
      </c>
      <c r="AO45" s="107" t="e">
        <f t="shared" si="5"/>
        <v>#N/A</v>
      </c>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row>
    <row r="46" spans="1:125" s="85" customFormat="1" x14ac:dyDescent="0.25">
      <c r="A46" s="110"/>
      <c r="B46" s="111"/>
      <c r="C46" s="112"/>
      <c r="D46" s="111"/>
      <c r="E46" s="54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Arm2'!D46,Staff_Costs[[#All],[Role]],0),MATCH("Per-minute cost",Staff_Costs[#Headers],0))*'Per-Participant Activities Arm2'!C46)</f>
        <v>#N/A</v>
      </c>
      <c r="AJ46" s="117" t="e">
        <f t="shared" si="4"/>
        <v>#N/A</v>
      </c>
      <c r="AK46" s="117" t="e">
        <f t="shared" si="4"/>
        <v>#N/A</v>
      </c>
      <c r="AL46" s="117" t="e">
        <f t="shared" si="4"/>
        <v>#N/A</v>
      </c>
      <c r="AM46" s="117" t="e">
        <f t="shared" si="4"/>
        <v>#N/A</v>
      </c>
      <c r="AN46" s="117" t="e">
        <f t="shared" si="4"/>
        <v>#N/A</v>
      </c>
      <c r="AO46" s="107" t="e">
        <f t="shared" si="5"/>
        <v>#N/A</v>
      </c>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row>
    <row r="47" spans="1:125" s="85" customFormat="1" x14ac:dyDescent="0.25">
      <c r="A47" s="110"/>
      <c r="B47" s="111"/>
      <c r="C47" s="112"/>
      <c r="D47" s="111"/>
      <c r="E47" s="54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Arm2'!D47,Staff_Costs[[#All],[Role]],0),MATCH("Per-minute cost",Staff_Costs[#Headers],0))*'Per-Participant Activities Arm2'!C47)</f>
        <v>#N/A</v>
      </c>
      <c r="AJ47" s="117" t="e">
        <f t="shared" si="4"/>
        <v>#N/A</v>
      </c>
      <c r="AK47" s="117" t="e">
        <f t="shared" si="4"/>
        <v>#N/A</v>
      </c>
      <c r="AL47" s="117" t="e">
        <f t="shared" si="4"/>
        <v>#N/A</v>
      </c>
      <c r="AM47" s="117" t="e">
        <f t="shared" si="4"/>
        <v>#N/A</v>
      </c>
      <c r="AN47" s="117" t="e">
        <f t="shared" si="4"/>
        <v>#N/A</v>
      </c>
      <c r="AO47" s="107" t="e">
        <f t="shared" si="5"/>
        <v>#N/A</v>
      </c>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row>
    <row r="48" spans="1:125" s="85" customFormat="1" x14ac:dyDescent="0.25">
      <c r="A48" s="110"/>
      <c r="B48" s="111"/>
      <c r="C48" s="112"/>
      <c r="D48" s="111"/>
      <c r="E48" s="54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Arm2'!D48,Staff_Costs[[#All],[Role]],0),MATCH("Per-minute cost",Staff_Costs[#Headers],0))*'Per-Participant Activities Arm2'!C48)</f>
        <v>#N/A</v>
      </c>
      <c r="AJ48" s="117" t="e">
        <f t="shared" si="4"/>
        <v>#N/A</v>
      </c>
      <c r="AK48" s="117" t="e">
        <f t="shared" si="4"/>
        <v>#N/A</v>
      </c>
      <c r="AL48" s="117" t="e">
        <f t="shared" si="4"/>
        <v>#N/A</v>
      </c>
      <c r="AM48" s="117" t="e">
        <f t="shared" si="4"/>
        <v>#N/A</v>
      </c>
      <c r="AN48" s="117" t="e">
        <f t="shared" si="4"/>
        <v>#N/A</v>
      </c>
      <c r="AO48" s="107" t="e">
        <f t="shared" si="5"/>
        <v>#N/A</v>
      </c>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row>
    <row r="49" spans="1:126" s="85" customFormat="1" x14ac:dyDescent="0.25">
      <c r="A49" s="110"/>
      <c r="B49" s="111"/>
      <c r="C49" s="112"/>
      <c r="D49" s="111"/>
      <c r="E49" s="54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Arm2'!D49,Staff_Costs[[#All],[Role]],0),MATCH("Per-minute cost",Staff_Costs[#Headers],0))*'Per-Participant Activities Arm2'!C49)</f>
        <v>#N/A</v>
      </c>
      <c r="AJ49" s="117" t="e">
        <f t="shared" si="4"/>
        <v>#N/A</v>
      </c>
      <c r="AK49" s="117" t="e">
        <f t="shared" si="4"/>
        <v>#N/A</v>
      </c>
      <c r="AL49" s="117" t="e">
        <f t="shared" si="4"/>
        <v>#N/A</v>
      </c>
      <c r="AM49" s="117" t="e">
        <f t="shared" si="4"/>
        <v>#N/A</v>
      </c>
      <c r="AN49" s="117" t="e">
        <f t="shared" si="4"/>
        <v>#N/A</v>
      </c>
      <c r="AO49" s="107" t="e">
        <f t="shared" si="5"/>
        <v>#N/A</v>
      </c>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row>
    <row r="50" spans="1:126" s="85" customFormat="1" x14ac:dyDescent="0.25">
      <c r="A50" s="110"/>
      <c r="B50" s="111"/>
      <c r="C50" s="112"/>
      <c r="D50" s="111"/>
      <c r="E50" s="54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Arm2'!D50,Staff_Costs[[#All],[Role]],0),MATCH("Per-minute cost",Staff_Costs[#Headers],0))*'Per-Participant Activities Arm2'!C50)</f>
        <v>#N/A</v>
      </c>
      <c r="AJ50" s="117" t="e">
        <f t="shared" ref="AJ50:AN65" si="6">COUNTIF($F50:$AH50, AJ$8)*$AI50</f>
        <v>#N/A</v>
      </c>
      <c r="AK50" s="117" t="e">
        <f t="shared" si="6"/>
        <v>#N/A</v>
      </c>
      <c r="AL50" s="117" t="e">
        <f t="shared" si="6"/>
        <v>#N/A</v>
      </c>
      <c r="AM50" s="117" t="e">
        <f t="shared" si="6"/>
        <v>#N/A</v>
      </c>
      <c r="AN50" s="117" t="e">
        <f t="shared" si="6"/>
        <v>#N/A</v>
      </c>
      <c r="AO50" s="107" t="e">
        <f t="shared" si="5"/>
        <v>#N/A</v>
      </c>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row>
    <row r="51" spans="1:126" s="85" customFormat="1" x14ac:dyDescent="0.25">
      <c r="A51" s="110"/>
      <c r="B51" s="111"/>
      <c r="C51" s="112"/>
      <c r="D51" s="111"/>
      <c r="E51" s="54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Arm2'!D51,Staff_Costs[[#All],[Role]],0),MATCH("Per-minute cost",Staff_Costs[#Headers],0))*'Per-Participant Activities Arm2'!C51)</f>
        <v>#N/A</v>
      </c>
      <c r="AJ51" s="117" t="e">
        <f t="shared" si="6"/>
        <v>#N/A</v>
      </c>
      <c r="AK51" s="117" t="e">
        <f t="shared" si="6"/>
        <v>#N/A</v>
      </c>
      <c r="AL51" s="117" t="e">
        <f t="shared" si="6"/>
        <v>#N/A</v>
      </c>
      <c r="AM51" s="117" t="e">
        <f t="shared" si="6"/>
        <v>#N/A</v>
      </c>
      <c r="AN51" s="117" t="e">
        <f t="shared" si="6"/>
        <v>#N/A</v>
      </c>
      <c r="AO51" s="107" t="e">
        <f t="shared" si="5"/>
        <v>#N/A</v>
      </c>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row>
    <row r="52" spans="1:126" s="85" customFormat="1" x14ac:dyDescent="0.25">
      <c r="A52" s="110"/>
      <c r="B52" s="111"/>
      <c r="C52" s="112"/>
      <c r="D52" s="111"/>
      <c r="E52" s="54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Arm2'!D52,Staff_Costs[[#All],[Role]],0),MATCH("Per-minute cost",Staff_Costs[#Headers],0))*'Per-Participant Activities Arm2'!C52)</f>
        <v>#N/A</v>
      </c>
      <c r="AJ52" s="117" t="e">
        <f t="shared" si="6"/>
        <v>#N/A</v>
      </c>
      <c r="AK52" s="117" t="e">
        <f t="shared" si="6"/>
        <v>#N/A</v>
      </c>
      <c r="AL52" s="117" t="e">
        <f t="shared" si="6"/>
        <v>#N/A</v>
      </c>
      <c r="AM52" s="117" t="e">
        <f t="shared" si="6"/>
        <v>#N/A</v>
      </c>
      <c r="AN52" s="117" t="e">
        <f t="shared" si="6"/>
        <v>#N/A</v>
      </c>
      <c r="AO52" s="107" t="e">
        <f t="shared" si="5"/>
        <v>#N/A</v>
      </c>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row>
    <row r="53" spans="1:126" s="85" customFormat="1" x14ac:dyDescent="0.25">
      <c r="A53" s="110"/>
      <c r="B53" s="111"/>
      <c r="C53" s="112"/>
      <c r="D53" s="111"/>
      <c r="E53" s="54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Arm2'!D53,Staff_Costs[[#All],[Role]],0),MATCH("Per-minute cost",Staff_Costs[#Headers],0))*'Per-Participant Activities Arm2'!C53)</f>
        <v>#N/A</v>
      </c>
      <c r="AJ53" s="117" t="e">
        <f t="shared" si="6"/>
        <v>#N/A</v>
      </c>
      <c r="AK53" s="117" t="e">
        <f t="shared" si="6"/>
        <v>#N/A</v>
      </c>
      <c r="AL53" s="117" t="e">
        <f t="shared" si="6"/>
        <v>#N/A</v>
      </c>
      <c r="AM53" s="117" t="e">
        <f t="shared" si="6"/>
        <v>#N/A</v>
      </c>
      <c r="AN53" s="117" t="e">
        <f t="shared" si="6"/>
        <v>#N/A</v>
      </c>
      <c r="AO53" s="107" t="e">
        <f t="shared" si="5"/>
        <v>#N/A</v>
      </c>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row>
    <row r="54" spans="1:126" s="85" customFormat="1" x14ac:dyDescent="0.25">
      <c r="A54" s="110"/>
      <c r="B54" s="111"/>
      <c r="C54" s="112"/>
      <c r="D54" s="111"/>
      <c r="E54" s="54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Arm2'!D54,Staff_Costs[[#All],[Role]],0),MATCH("Per-minute cost",Staff_Costs[#Headers],0))*'Per-Participant Activities Arm2'!C54)</f>
        <v>#N/A</v>
      </c>
      <c r="AJ54" s="117" t="e">
        <f t="shared" si="6"/>
        <v>#N/A</v>
      </c>
      <c r="AK54" s="117" t="e">
        <f t="shared" si="6"/>
        <v>#N/A</v>
      </c>
      <c r="AL54" s="117" t="e">
        <f t="shared" si="6"/>
        <v>#N/A</v>
      </c>
      <c r="AM54" s="117" t="e">
        <f t="shared" si="6"/>
        <v>#N/A</v>
      </c>
      <c r="AN54" s="117" t="e">
        <f t="shared" si="6"/>
        <v>#N/A</v>
      </c>
      <c r="AO54" s="107" t="e">
        <f t="shared" si="5"/>
        <v>#N/A</v>
      </c>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row>
    <row r="55" spans="1:126" s="85" customFormat="1" x14ac:dyDescent="0.25">
      <c r="A55" s="110"/>
      <c r="B55" s="111"/>
      <c r="C55" s="112"/>
      <c r="D55" s="111"/>
      <c r="E55" s="54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Arm2'!D55,Staff_Costs[[#All],[Role]],0),MATCH("Per-minute cost",Staff_Costs[#Headers],0))*'Per-Participant Activities Arm2'!C55)</f>
        <v>#N/A</v>
      </c>
      <c r="AJ55" s="117" t="e">
        <f t="shared" si="6"/>
        <v>#N/A</v>
      </c>
      <c r="AK55" s="117" t="e">
        <f t="shared" si="6"/>
        <v>#N/A</v>
      </c>
      <c r="AL55" s="117" t="e">
        <f t="shared" si="6"/>
        <v>#N/A</v>
      </c>
      <c r="AM55" s="117" t="e">
        <f t="shared" si="6"/>
        <v>#N/A</v>
      </c>
      <c r="AN55" s="117" t="e">
        <f t="shared" si="6"/>
        <v>#N/A</v>
      </c>
      <c r="AO55" s="107" t="e">
        <f t="shared" si="5"/>
        <v>#N/A</v>
      </c>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row>
    <row r="56" spans="1:126" s="85" customFormat="1" x14ac:dyDescent="0.25">
      <c r="A56" s="110"/>
      <c r="B56" s="111"/>
      <c r="C56" s="112"/>
      <c r="D56" s="111"/>
      <c r="E56" s="54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Arm2'!D56,Staff_Costs[[#All],[Role]],0),MATCH("Per-minute cost",Staff_Costs[#Headers],0))*'Per-Participant Activities Arm2'!C56)</f>
        <v>#N/A</v>
      </c>
      <c r="AJ56" s="117" t="e">
        <f t="shared" si="6"/>
        <v>#N/A</v>
      </c>
      <c r="AK56" s="117" t="e">
        <f t="shared" si="6"/>
        <v>#N/A</v>
      </c>
      <c r="AL56" s="117" t="e">
        <f t="shared" si="6"/>
        <v>#N/A</v>
      </c>
      <c r="AM56" s="117" t="e">
        <f t="shared" si="6"/>
        <v>#N/A</v>
      </c>
      <c r="AN56" s="117" t="e">
        <f t="shared" si="6"/>
        <v>#N/A</v>
      </c>
      <c r="AO56" s="107" t="e">
        <f t="shared" si="5"/>
        <v>#N/A</v>
      </c>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row>
    <row r="57" spans="1:126" s="85" customFormat="1" x14ac:dyDescent="0.25">
      <c r="A57" s="110"/>
      <c r="B57" s="111"/>
      <c r="C57" s="112"/>
      <c r="D57" s="111"/>
      <c r="E57" s="54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Arm2'!D57,Staff_Costs[[#All],[Role]],0),MATCH("Per-minute cost",Staff_Costs[#Headers],0))*'Per-Participant Activities Arm2'!C57)</f>
        <v>#N/A</v>
      </c>
      <c r="AJ57" s="117" t="e">
        <f t="shared" si="6"/>
        <v>#N/A</v>
      </c>
      <c r="AK57" s="117" t="e">
        <f t="shared" si="6"/>
        <v>#N/A</v>
      </c>
      <c r="AL57" s="117" t="e">
        <f t="shared" si="6"/>
        <v>#N/A</v>
      </c>
      <c r="AM57" s="117" t="e">
        <f t="shared" si="6"/>
        <v>#N/A</v>
      </c>
      <c r="AN57" s="117" t="e">
        <f t="shared" si="6"/>
        <v>#N/A</v>
      </c>
      <c r="AO57" s="107" t="e">
        <f t="shared" si="5"/>
        <v>#N/A</v>
      </c>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row>
    <row r="58" spans="1:126" s="85" customFormat="1" x14ac:dyDescent="0.25">
      <c r="A58" s="110"/>
      <c r="B58" s="111"/>
      <c r="C58" s="112"/>
      <c r="D58" s="111"/>
      <c r="E58" s="54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Arm2'!D58,Staff_Costs[[#All],[Role]],0),MATCH("Per-minute cost",Staff_Costs[#Headers],0))*'Per-Participant Activities Arm2'!C58)</f>
        <v>#N/A</v>
      </c>
      <c r="AJ58" s="117" t="e">
        <f t="shared" si="6"/>
        <v>#N/A</v>
      </c>
      <c r="AK58" s="117" t="e">
        <f t="shared" si="6"/>
        <v>#N/A</v>
      </c>
      <c r="AL58" s="117" t="e">
        <f t="shared" si="6"/>
        <v>#N/A</v>
      </c>
      <c r="AM58" s="117" t="e">
        <f t="shared" si="6"/>
        <v>#N/A</v>
      </c>
      <c r="AN58" s="117" t="e">
        <f t="shared" si="6"/>
        <v>#N/A</v>
      </c>
      <c r="AO58" s="107" t="e">
        <f t="shared" si="5"/>
        <v>#N/A</v>
      </c>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row>
    <row r="59" spans="1:126" s="85" customFormat="1" x14ac:dyDescent="0.25">
      <c r="A59" s="110"/>
      <c r="B59" s="111"/>
      <c r="C59" s="112"/>
      <c r="D59" s="111"/>
      <c r="E59" s="54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Arm2'!D59,Staff_Costs[[#All],[Role]],0),MATCH("Per-minute cost",Staff_Costs[#Headers],0))*'Per-Participant Activities Arm2'!C59)</f>
        <v>#N/A</v>
      </c>
      <c r="AJ59" s="117" t="e">
        <f t="shared" si="6"/>
        <v>#N/A</v>
      </c>
      <c r="AK59" s="117" t="e">
        <f t="shared" si="6"/>
        <v>#N/A</v>
      </c>
      <c r="AL59" s="117" t="e">
        <f t="shared" si="6"/>
        <v>#N/A</v>
      </c>
      <c r="AM59" s="117" t="e">
        <f t="shared" si="6"/>
        <v>#N/A</v>
      </c>
      <c r="AN59" s="117" t="e">
        <f t="shared" si="6"/>
        <v>#N/A</v>
      </c>
      <c r="AO59" s="107" t="e">
        <f t="shared" si="5"/>
        <v>#N/A</v>
      </c>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row>
    <row r="60" spans="1:126" s="85" customFormat="1" x14ac:dyDescent="0.25">
      <c r="A60" s="110"/>
      <c r="B60" s="111"/>
      <c r="C60" s="112"/>
      <c r="D60" s="111"/>
      <c r="E60" s="54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Arm2'!D60,Staff_Costs[[#All],[Role]],0),MATCH("Per-minute cost",Staff_Costs[#Headers],0))*'Per-Participant Activities Arm2'!C60)</f>
        <v>#N/A</v>
      </c>
      <c r="AJ60" s="117" t="e">
        <f t="shared" si="6"/>
        <v>#N/A</v>
      </c>
      <c r="AK60" s="117" t="e">
        <f t="shared" si="6"/>
        <v>#N/A</v>
      </c>
      <c r="AL60" s="117" t="e">
        <f t="shared" si="6"/>
        <v>#N/A</v>
      </c>
      <c r="AM60" s="117" t="e">
        <f t="shared" si="6"/>
        <v>#N/A</v>
      </c>
      <c r="AN60" s="117" t="e">
        <f t="shared" si="6"/>
        <v>#N/A</v>
      </c>
      <c r="AO60" s="107" t="e">
        <f t="shared" si="5"/>
        <v>#N/A</v>
      </c>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row>
    <row r="61" spans="1:126" s="85" customFormat="1" x14ac:dyDescent="0.25">
      <c r="A61" s="110"/>
      <c r="B61" s="111"/>
      <c r="C61" s="112"/>
      <c r="D61" s="111"/>
      <c r="E61" s="54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Arm2'!D61,Staff_Costs[[#All],[Role]],0),MATCH("Per-minute cost",Staff_Costs[#Headers],0))*'Per-Participant Activities Arm2'!C61)</f>
        <v>#N/A</v>
      </c>
      <c r="AJ61" s="117" t="e">
        <f t="shared" si="6"/>
        <v>#N/A</v>
      </c>
      <c r="AK61" s="117" t="e">
        <f t="shared" si="6"/>
        <v>#N/A</v>
      </c>
      <c r="AL61" s="117" t="e">
        <f t="shared" si="6"/>
        <v>#N/A</v>
      </c>
      <c r="AM61" s="117" t="e">
        <f t="shared" si="6"/>
        <v>#N/A</v>
      </c>
      <c r="AN61" s="117" t="e">
        <f t="shared" si="6"/>
        <v>#N/A</v>
      </c>
      <c r="AO61" s="107" t="e">
        <f t="shared" si="5"/>
        <v>#N/A</v>
      </c>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row>
    <row r="62" spans="1:126" s="85" customFormat="1" x14ac:dyDescent="0.25">
      <c r="A62" s="110"/>
      <c r="B62" s="111"/>
      <c r="C62" s="112"/>
      <c r="D62" s="111"/>
      <c r="E62" s="54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Arm2'!D62,Staff_Costs[[#All],[Role]],0),MATCH("Per-minute cost",Staff_Costs[#Headers],0))*'Per-Participant Activities Arm2'!C62)</f>
        <v>#N/A</v>
      </c>
      <c r="AJ62" s="117" t="e">
        <f t="shared" si="6"/>
        <v>#N/A</v>
      </c>
      <c r="AK62" s="117" t="e">
        <f t="shared" si="6"/>
        <v>#N/A</v>
      </c>
      <c r="AL62" s="117" t="e">
        <f t="shared" si="6"/>
        <v>#N/A</v>
      </c>
      <c r="AM62" s="117" t="e">
        <f t="shared" si="6"/>
        <v>#N/A</v>
      </c>
      <c r="AN62" s="117" t="e">
        <f t="shared" si="6"/>
        <v>#N/A</v>
      </c>
      <c r="AO62" s="107" t="e">
        <f t="shared" si="5"/>
        <v>#N/A</v>
      </c>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row>
    <row r="63" spans="1:126" s="85" customFormat="1" x14ac:dyDescent="0.25">
      <c r="A63" s="110"/>
      <c r="B63" s="111"/>
      <c r="C63" s="112"/>
      <c r="D63" s="111"/>
      <c r="E63" s="54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Arm2'!D63,Staff_Costs[[#All],[Role]],0),MATCH("Per-minute cost",Staff_Costs[#Headers],0))*'Per-Participant Activities Arm2'!C63)</f>
        <v>#N/A</v>
      </c>
      <c r="AJ63" s="117" t="e">
        <f t="shared" si="6"/>
        <v>#N/A</v>
      </c>
      <c r="AK63" s="117" t="e">
        <f t="shared" si="6"/>
        <v>#N/A</v>
      </c>
      <c r="AL63" s="117" t="e">
        <f t="shared" si="6"/>
        <v>#N/A</v>
      </c>
      <c r="AM63" s="117" t="e">
        <f t="shared" si="6"/>
        <v>#N/A</v>
      </c>
      <c r="AN63" s="117" t="e">
        <f t="shared" si="6"/>
        <v>#N/A</v>
      </c>
      <c r="AO63" s="107" t="e">
        <f t="shared" si="5"/>
        <v>#N/A</v>
      </c>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row>
    <row r="64" spans="1:126" s="90" customFormat="1" x14ac:dyDescent="0.25">
      <c r="A64" s="110"/>
      <c r="B64" s="111"/>
      <c r="C64" s="112"/>
      <c r="D64" s="111"/>
      <c r="E64" s="545"/>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5"/>
      <c r="AI64" s="116" t="e">
        <f>IF(INDEX(TARIFF_TABLE[#All], MATCH($B64,TARIFF_TABLE[[#All],[Activity]],0),MATCH("ActivityType",TARIFF_TABLE[#Headers]))="Investigation",INDEX(TARIFF_TABLE[#All], MATCH($B64,TARIFF_TABLE[[#All],[Activity]],0),MATCH("Cost",TARIFF_TABLE[#Headers],0)),INDEX(Staff_Costs[#All],MATCH('Per-Participant Activities Arm2'!D64,Staff_Costs[[#All],[Role]],0),MATCH("Per-minute cost",Staff_Costs[#Headers],0))*'Per-Participant Activities Arm2'!C64)</f>
        <v>#N/A</v>
      </c>
      <c r="AJ64" s="117" t="e">
        <f t="shared" ref="AJ64:AJ110" si="7">COUNTIF($F64:$AG64, AJ$8)*$AI64</f>
        <v>#N/A</v>
      </c>
      <c r="AK64" s="117" t="e">
        <f t="shared" ref="AK64:AK110" si="8">COUNTIF($F64:$AG64, AK$8)*$AI64</f>
        <v>#N/A</v>
      </c>
      <c r="AL64" s="117" t="e">
        <f t="shared" si="6"/>
        <v>#N/A</v>
      </c>
      <c r="AM64" s="117" t="e">
        <f t="shared" ref="AM64:AM110" si="9">COUNTIF($F64:$AG64, AM$8)*$AI64</f>
        <v>#N/A</v>
      </c>
      <c r="AN64" s="117" t="e">
        <f t="shared" ref="AN64:AN110" si="10">COUNTIF($F64:$AG64, AN$8)*$AI64</f>
        <v>#N/A</v>
      </c>
      <c r="AO64" s="475" t="e">
        <f>INDEX('Tariff (hidden)'!$B$4:$B$133,MATCH(B64,'Tariff (hidden)'!$A$4:$A$133,0))</f>
        <v>#N/A</v>
      </c>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row>
    <row r="65" spans="1:134" s="85" customFormat="1" x14ac:dyDescent="0.25">
      <c r="A65" s="110"/>
      <c r="B65" s="111"/>
      <c r="C65" s="112"/>
      <c r="D65" s="111"/>
      <c r="E65" s="545"/>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5"/>
      <c r="AI65" s="116" t="e">
        <f>IF(INDEX(TARIFF_TABLE[#All], MATCH($B65,TARIFF_TABLE[[#All],[Activity]],0),MATCH("ActivityType",TARIFF_TABLE[#Headers]))="Investigation",INDEX(TARIFF_TABLE[#All], MATCH($B65,TARIFF_TABLE[[#All],[Activity]],0),MATCH("Cost",TARIFF_TABLE[#Headers],0)),INDEX(Staff_Costs[#All],MATCH('Per-Participant Activities Arm2'!D65,Staff_Costs[[#All],[Role]],0),MATCH("Per-minute cost",Staff_Costs[#Headers],0))*'Per-Participant Activities Arm2'!C65)</f>
        <v>#N/A</v>
      </c>
      <c r="AJ65" s="117" t="e">
        <f t="shared" si="7"/>
        <v>#N/A</v>
      </c>
      <c r="AK65" s="117" t="e">
        <f t="shared" si="8"/>
        <v>#N/A</v>
      </c>
      <c r="AL65" s="117" t="e">
        <f t="shared" si="6"/>
        <v>#N/A</v>
      </c>
      <c r="AM65" s="117" t="e">
        <f t="shared" si="9"/>
        <v>#N/A</v>
      </c>
      <c r="AN65" s="117" t="e">
        <f t="shared" si="10"/>
        <v>#N/A</v>
      </c>
      <c r="AO65" s="475" t="e">
        <f>INDEX('Tariff (hidden)'!$B$4:$B$133,MATCH(B65,'Tariff (hidden)'!$A$4:$A$133,0))</f>
        <v>#N/A</v>
      </c>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row>
    <row r="66" spans="1:134" s="85" customFormat="1" x14ac:dyDescent="0.25">
      <c r="A66" s="110"/>
      <c r="B66" s="111"/>
      <c r="C66" s="112"/>
      <c r="D66" s="111"/>
      <c r="E66" s="545"/>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5"/>
      <c r="AI66" s="116" t="e">
        <f>IF(INDEX(TARIFF_TABLE[#All], MATCH($B66,TARIFF_TABLE[[#All],[Activity]],0),MATCH("ActivityType",TARIFF_TABLE[#Headers]))="Investigation",INDEX(TARIFF_TABLE[#All], MATCH($B66,TARIFF_TABLE[[#All],[Activity]],0),MATCH("Cost",TARIFF_TABLE[#Headers],0)),INDEX(Staff_Costs[#All],MATCH('Per-Participant Activities Arm2'!D66,Staff_Costs[[#All],[Role]],0),MATCH("Per-minute cost",Staff_Costs[#Headers],0))*'Per-Participant Activities Arm2'!C66)</f>
        <v>#N/A</v>
      </c>
      <c r="AJ66" s="117" t="e">
        <f t="shared" si="7"/>
        <v>#N/A</v>
      </c>
      <c r="AK66" s="117" t="e">
        <f t="shared" si="8"/>
        <v>#N/A</v>
      </c>
      <c r="AL66" s="117" t="e">
        <f t="shared" ref="AL66:AL110" si="11">COUNTIF($F66:$AH66, AL$8)*$AI66</f>
        <v>#N/A</v>
      </c>
      <c r="AM66" s="117" t="e">
        <f t="shared" si="9"/>
        <v>#N/A</v>
      </c>
      <c r="AN66" s="117" t="e">
        <f t="shared" si="10"/>
        <v>#N/A</v>
      </c>
      <c r="AO66" s="475" t="e">
        <f>INDEX('Tariff (hidden)'!$B$4:$B$133,MATCH(B66,'Tariff (hidden)'!$A$4:$A$133,0))</f>
        <v>#N/A</v>
      </c>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row>
    <row r="67" spans="1:134" s="85" customFormat="1" x14ac:dyDescent="0.25">
      <c r="A67" s="110"/>
      <c r="B67" s="111"/>
      <c r="C67" s="112"/>
      <c r="D67" s="111"/>
      <c r="E67" s="545"/>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5"/>
      <c r="AI67" s="116" t="e">
        <f>IF(INDEX(TARIFF_TABLE[#All], MATCH($B67,TARIFF_TABLE[[#All],[Activity]],0),MATCH("ActivityType",TARIFF_TABLE[#Headers]))="Investigation",INDEX(TARIFF_TABLE[#All], MATCH($B67,TARIFF_TABLE[[#All],[Activity]],0),MATCH("Cost",TARIFF_TABLE[#Headers],0)),INDEX(Staff_Costs[#All],MATCH('Per-Participant Activities Arm2'!D67,Staff_Costs[[#All],[Role]],0),MATCH("Per-minute cost",Staff_Costs[#Headers],0))*'Per-Participant Activities Arm2'!C67)</f>
        <v>#N/A</v>
      </c>
      <c r="AJ67" s="117" t="e">
        <f t="shared" si="7"/>
        <v>#N/A</v>
      </c>
      <c r="AK67" s="117" t="e">
        <f t="shared" si="8"/>
        <v>#N/A</v>
      </c>
      <c r="AL67" s="117" t="e">
        <f t="shared" si="11"/>
        <v>#N/A</v>
      </c>
      <c r="AM67" s="117" t="e">
        <f t="shared" si="9"/>
        <v>#N/A</v>
      </c>
      <c r="AN67" s="117" t="e">
        <f t="shared" si="10"/>
        <v>#N/A</v>
      </c>
      <c r="AO67" s="475" t="e">
        <f>INDEX('Tariff (hidden)'!$B$4:$B$133,MATCH(B67,'Tariff (hidden)'!$A$4:$A$133,0))</f>
        <v>#N/A</v>
      </c>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row>
    <row r="68" spans="1:134" s="85" customFormat="1" x14ac:dyDescent="0.25">
      <c r="A68" s="110"/>
      <c r="B68" s="111"/>
      <c r="C68" s="112"/>
      <c r="D68" s="111"/>
      <c r="E68" s="545"/>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5"/>
      <c r="AI68" s="116" t="e">
        <f>IF(INDEX(TARIFF_TABLE[#All], MATCH($B68,TARIFF_TABLE[[#All],[Activity]],0),MATCH("ActivityType",TARIFF_TABLE[#Headers]))="Investigation",INDEX(TARIFF_TABLE[#All], MATCH($B68,TARIFF_TABLE[[#All],[Activity]],0),MATCH("Cost",TARIFF_TABLE[#Headers],0)),INDEX(Staff_Costs[#All],MATCH('Per-Participant Activities Arm2'!D68,Staff_Costs[[#All],[Role]],0),MATCH("Per-minute cost",Staff_Costs[#Headers],0))*'Per-Participant Activities Arm2'!C68)</f>
        <v>#N/A</v>
      </c>
      <c r="AJ68" s="117" t="e">
        <f t="shared" si="7"/>
        <v>#N/A</v>
      </c>
      <c r="AK68" s="117" t="e">
        <f t="shared" si="8"/>
        <v>#N/A</v>
      </c>
      <c r="AL68" s="117" t="e">
        <f t="shared" si="11"/>
        <v>#N/A</v>
      </c>
      <c r="AM68" s="117" t="e">
        <f t="shared" si="9"/>
        <v>#N/A</v>
      </c>
      <c r="AN68" s="117" t="e">
        <f t="shared" si="10"/>
        <v>#N/A</v>
      </c>
      <c r="AO68" s="475" t="e">
        <f>INDEX('Tariff (hidden)'!$B$4:$B$133,MATCH(B68,'Tariff (hidden)'!$A$4:$A$133,0))</f>
        <v>#N/A</v>
      </c>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row>
    <row r="69" spans="1:134" s="85" customFormat="1" x14ac:dyDescent="0.25">
      <c r="A69" s="110"/>
      <c r="B69" s="111"/>
      <c r="C69" s="112"/>
      <c r="D69" s="111"/>
      <c r="E69" s="545"/>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5"/>
      <c r="AI69" s="116" t="e">
        <f>IF(INDEX(TARIFF_TABLE[#All], MATCH($B69,TARIFF_TABLE[[#All],[Activity]],0),MATCH("ActivityType",TARIFF_TABLE[#Headers]))="Investigation",INDEX(TARIFF_TABLE[#All], MATCH($B69,TARIFF_TABLE[[#All],[Activity]],0),MATCH("Cost",TARIFF_TABLE[#Headers],0)),INDEX(Staff_Costs[#All],MATCH('Per-Participant Activities Arm2'!D69,Staff_Costs[[#All],[Role]],0),MATCH("Per-minute cost",Staff_Costs[#Headers],0))*'Per-Participant Activities Arm2'!C69)</f>
        <v>#N/A</v>
      </c>
      <c r="AJ69" s="117" t="e">
        <f t="shared" si="7"/>
        <v>#N/A</v>
      </c>
      <c r="AK69" s="117" t="e">
        <f t="shared" si="8"/>
        <v>#N/A</v>
      </c>
      <c r="AL69" s="117" t="e">
        <f t="shared" si="11"/>
        <v>#N/A</v>
      </c>
      <c r="AM69" s="117" t="e">
        <f t="shared" si="9"/>
        <v>#N/A</v>
      </c>
      <c r="AN69" s="117" t="e">
        <f t="shared" si="10"/>
        <v>#N/A</v>
      </c>
      <c r="AO69" s="475" t="e">
        <f>INDEX('Tariff (hidden)'!$B$4:$B$133,MATCH(B69,'Tariff (hidden)'!$A$4:$A$133,0))</f>
        <v>#N/A</v>
      </c>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row>
    <row r="70" spans="1:134" s="85" customFormat="1" x14ac:dyDescent="0.25">
      <c r="A70" s="110"/>
      <c r="B70" s="111"/>
      <c r="C70" s="112"/>
      <c r="D70" s="111"/>
      <c r="E70" s="545"/>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5"/>
      <c r="AI70" s="116" t="e">
        <f>IF(INDEX(TARIFF_TABLE[#All], MATCH($B70,TARIFF_TABLE[[#All],[Activity]],0),MATCH("ActivityType",TARIFF_TABLE[#Headers]))="Investigation",INDEX(TARIFF_TABLE[#All], MATCH($B70,TARIFF_TABLE[[#All],[Activity]],0),MATCH("Cost",TARIFF_TABLE[#Headers],0)),INDEX(Staff_Costs[#All],MATCH('Per-Participant Activities Arm2'!D70,Staff_Costs[[#All],[Role]],0),MATCH("Per-minute cost",Staff_Costs[#Headers],0))*'Per-Participant Activities Arm2'!C70)</f>
        <v>#N/A</v>
      </c>
      <c r="AJ70" s="117" t="e">
        <f t="shared" si="7"/>
        <v>#N/A</v>
      </c>
      <c r="AK70" s="117" t="e">
        <f t="shared" si="8"/>
        <v>#N/A</v>
      </c>
      <c r="AL70" s="117" t="e">
        <f t="shared" si="11"/>
        <v>#N/A</v>
      </c>
      <c r="AM70" s="117" t="e">
        <f t="shared" si="9"/>
        <v>#N/A</v>
      </c>
      <c r="AN70" s="117" t="e">
        <f t="shared" si="10"/>
        <v>#N/A</v>
      </c>
      <c r="AO70" s="475" t="e">
        <f>INDEX('Tariff (hidden)'!$B$4:$B$133,MATCH(B70,'Tariff (hidden)'!$A$4:$A$133,0))</f>
        <v>#N/A</v>
      </c>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row>
    <row r="71" spans="1:134" s="85" customFormat="1" x14ac:dyDescent="0.25">
      <c r="A71" s="110"/>
      <c r="B71" s="111"/>
      <c r="C71" s="112"/>
      <c r="D71" s="111"/>
      <c r="E71" s="545"/>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5"/>
      <c r="AI71" s="116" t="e">
        <f>IF(INDEX(TARIFF_TABLE[#All], MATCH($B71,TARIFF_TABLE[[#All],[Activity]],0),MATCH("ActivityType",TARIFF_TABLE[#Headers]))="Investigation",INDEX(TARIFF_TABLE[#All], MATCH($B71,TARIFF_TABLE[[#All],[Activity]],0),MATCH("Cost",TARIFF_TABLE[#Headers],0)),INDEX(Staff_Costs[#All],MATCH('Per-Participant Activities Arm2'!D71,Staff_Costs[[#All],[Role]],0),MATCH("Per-minute cost",Staff_Costs[#Headers],0))*'Per-Participant Activities Arm2'!C71)</f>
        <v>#N/A</v>
      </c>
      <c r="AJ71" s="117" t="e">
        <f t="shared" si="7"/>
        <v>#N/A</v>
      </c>
      <c r="AK71" s="117" t="e">
        <f t="shared" si="8"/>
        <v>#N/A</v>
      </c>
      <c r="AL71" s="117" t="e">
        <f t="shared" si="11"/>
        <v>#N/A</v>
      </c>
      <c r="AM71" s="117" t="e">
        <f t="shared" si="9"/>
        <v>#N/A</v>
      </c>
      <c r="AN71" s="117" t="e">
        <f t="shared" si="10"/>
        <v>#N/A</v>
      </c>
      <c r="AO71" s="475" t="e">
        <f>INDEX('Tariff (hidden)'!$B$4:$B$133,MATCH(B71,'Tariff (hidden)'!$A$4:$A$133,0))</f>
        <v>#N/A</v>
      </c>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row>
    <row r="72" spans="1:134" s="85" customFormat="1" x14ac:dyDescent="0.25">
      <c r="A72" s="110"/>
      <c r="B72" s="111"/>
      <c r="C72" s="112"/>
      <c r="D72" s="111"/>
      <c r="E72" s="545"/>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5"/>
      <c r="AI72" s="116" t="e">
        <f>IF(INDEX(TARIFF_TABLE[#All], MATCH($B72,TARIFF_TABLE[[#All],[Activity]],0),MATCH("ActivityType",TARIFF_TABLE[#Headers]))="Investigation",INDEX(TARIFF_TABLE[#All], MATCH($B72,TARIFF_TABLE[[#All],[Activity]],0),MATCH("Cost",TARIFF_TABLE[#Headers],0)),INDEX(Staff_Costs[#All],MATCH('Per-Participant Activities Arm2'!D72,Staff_Costs[[#All],[Role]],0),MATCH("Per-minute cost",Staff_Costs[#Headers],0))*'Per-Participant Activities Arm2'!C72)</f>
        <v>#N/A</v>
      </c>
      <c r="AJ72" s="117" t="e">
        <f t="shared" si="7"/>
        <v>#N/A</v>
      </c>
      <c r="AK72" s="117" t="e">
        <f t="shared" si="8"/>
        <v>#N/A</v>
      </c>
      <c r="AL72" s="117" t="e">
        <f t="shared" si="11"/>
        <v>#N/A</v>
      </c>
      <c r="AM72" s="117" t="e">
        <f t="shared" si="9"/>
        <v>#N/A</v>
      </c>
      <c r="AN72" s="117" t="e">
        <f t="shared" si="10"/>
        <v>#N/A</v>
      </c>
      <c r="AO72" s="475" t="e">
        <f>INDEX('Tariff (hidden)'!$B$4:$B$133,MATCH(B72,'Tariff (hidden)'!$A$4:$A$133,0))</f>
        <v>#N/A</v>
      </c>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row>
    <row r="73" spans="1:134" s="85" customFormat="1" x14ac:dyDescent="0.25">
      <c r="A73" s="110"/>
      <c r="B73" s="111"/>
      <c r="C73" s="112"/>
      <c r="D73" s="111"/>
      <c r="E73" s="545"/>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5"/>
      <c r="AI73" s="116" t="e">
        <f>IF(INDEX(TARIFF_TABLE[#All], MATCH($B73,TARIFF_TABLE[[#All],[Activity]],0),MATCH("ActivityType",TARIFF_TABLE[#Headers]))="Investigation",INDEX(TARIFF_TABLE[#All], MATCH($B73,TARIFF_TABLE[[#All],[Activity]],0),MATCH("Cost",TARIFF_TABLE[#Headers],0)),INDEX(Staff_Costs[#All],MATCH('Per-Participant Activities Arm2'!D73,Staff_Costs[[#All],[Role]],0),MATCH("Per-minute cost",Staff_Costs[#Headers],0))*'Per-Participant Activities Arm2'!C73)</f>
        <v>#N/A</v>
      </c>
      <c r="AJ73" s="117" t="e">
        <f t="shared" si="7"/>
        <v>#N/A</v>
      </c>
      <c r="AK73" s="117" t="e">
        <f t="shared" si="8"/>
        <v>#N/A</v>
      </c>
      <c r="AL73" s="117" t="e">
        <f t="shared" si="11"/>
        <v>#N/A</v>
      </c>
      <c r="AM73" s="117" t="e">
        <f t="shared" si="9"/>
        <v>#N/A</v>
      </c>
      <c r="AN73" s="117" t="e">
        <f t="shared" si="10"/>
        <v>#N/A</v>
      </c>
      <c r="AO73" s="475" t="e">
        <f>INDEX('Tariff (hidden)'!$B$4:$B$133,MATCH(B73,'Tariff (hidden)'!$A$4:$A$133,0))</f>
        <v>#N/A</v>
      </c>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row>
    <row r="74" spans="1:134" x14ac:dyDescent="0.25">
      <c r="A74" s="110"/>
      <c r="B74" s="111"/>
      <c r="C74" s="112"/>
      <c r="D74" s="111"/>
      <c r="E74" s="545"/>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5"/>
      <c r="AI74" s="116" t="e">
        <f>IF(INDEX(TARIFF_TABLE[#All], MATCH($B74,TARIFF_TABLE[[#All],[Activity]],0),MATCH("ActivityType",TARIFF_TABLE[#Headers]))="Investigation",INDEX(TARIFF_TABLE[#All], MATCH($B74,TARIFF_TABLE[[#All],[Activity]],0),MATCH("Cost",TARIFF_TABLE[#Headers],0)),INDEX(Staff_Costs[#All],MATCH('Per-Participant Activities Arm2'!D74,Staff_Costs[[#All],[Role]],0),MATCH("Per-minute cost",Staff_Costs[#Headers],0))*'Per-Participant Activities Arm2'!C74)</f>
        <v>#N/A</v>
      </c>
      <c r="AJ74" s="117" t="e">
        <f t="shared" si="7"/>
        <v>#N/A</v>
      </c>
      <c r="AK74" s="117" t="e">
        <f t="shared" si="8"/>
        <v>#N/A</v>
      </c>
      <c r="AL74" s="117" t="e">
        <f t="shared" si="11"/>
        <v>#N/A</v>
      </c>
      <c r="AM74" s="117" t="e">
        <f t="shared" si="9"/>
        <v>#N/A</v>
      </c>
      <c r="AN74" s="117" t="e">
        <f t="shared" si="10"/>
        <v>#N/A</v>
      </c>
      <c r="AO74" s="475" t="e">
        <f>INDEX('Tariff (hidden)'!$B$4:$B$133,MATCH(B74,'Tariff (hidden)'!$A$4:$A$133,0))</f>
        <v>#N/A</v>
      </c>
      <c r="DW74" s="6"/>
      <c r="DX74" s="6"/>
      <c r="DY74" s="6"/>
      <c r="DZ74" s="6"/>
      <c r="EA74" s="6"/>
      <c r="EB74" s="6"/>
      <c r="EC74" s="6"/>
      <c r="ED74" s="6"/>
    </row>
    <row r="75" spans="1:134" x14ac:dyDescent="0.25">
      <c r="A75" s="110"/>
      <c r="B75" s="111"/>
      <c r="C75" s="112"/>
      <c r="D75" s="111"/>
      <c r="E75" s="545"/>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5"/>
      <c r="AI75" s="116" t="e">
        <f>IF(INDEX(TARIFF_TABLE[#All], MATCH($B75,TARIFF_TABLE[[#All],[Activity]],0),MATCH("ActivityType",TARIFF_TABLE[#Headers]))="Investigation",INDEX(TARIFF_TABLE[#All], MATCH($B75,TARIFF_TABLE[[#All],[Activity]],0),MATCH("Cost",TARIFF_TABLE[#Headers],0)),INDEX(Staff_Costs[#All],MATCH('Per-Participant Activities Arm2'!D75,Staff_Costs[[#All],[Role]],0),MATCH("Per-minute cost",Staff_Costs[#Headers],0))*'Per-Participant Activities Arm2'!C75)</f>
        <v>#N/A</v>
      </c>
      <c r="AJ75" s="117" t="e">
        <f t="shared" si="7"/>
        <v>#N/A</v>
      </c>
      <c r="AK75" s="117" t="e">
        <f t="shared" si="8"/>
        <v>#N/A</v>
      </c>
      <c r="AL75" s="117" t="e">
        <f t="shared" si="11"/>
        <v>#N/A</v>
      </c>
      <c r="AM75" s="117" t="e">
        <f t="shared" si="9"/>
        <v>#N/A</v>
      </c>
      <c r="AN75" s="117" t="e">
        <f t="shared" si="10"/>
        <v>#N/A</v>
      </c>
      <c r="AO75" s="475" t="e">
        <f>INDEX('Tariff (hidden)'!$B$4:$B$133,MATCH(B75,'Tariff (hidden)'!$A$4:$A$133,0))</f>
        <v>#N/A</v>
      </c>
      <c r="DW75" s="6"/>
      <c r="DX75" s="6"/>
      <c r="DY75" s="6"/>
      <c r="DZ75" s="6"/>
      <c r="EA75" s="6"/>
      <c r="EB75" s="6"/>
      <c r="EC75" s="6"/>
      <c r="ED75" s="6"/>
    </row>
    <row r="76" spans="1:134" x14ac:dyDescent="0.25">
      <c r="A76" s="110"/>
      <c r="B76" s="111"/>
      <c r="C76" s="112"/>
      <c r="D76" s="111"/>
      <c r="E76" s="545"/>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5"/>
      <c r="AI76" s="116" t="e">
        <f>IF(INDEX(TARIFF_TABLE[#All], MATCH($B76,TARIFF_TABLE[[#All],[Activity]],0),MATCH("ActivityType",TARIFF_TABLE[#Headers]))="Investigation",INDEX(TARIFF_TABLE[#All], MATCH($B76,TARIFF_TABLE[[#All],[Activity]],0),MATCH("Cost",TARIFF_TABLE[#Headers],0)),INDEX(Staff_Costs[#All],MATCH('Per-Participant Activities Arm2'!D76,Staff_Costs[[#All],[Role]],0),MATCH("Per-minute cost",Staff_Costs[#Headers],0))*'Per-Participant Activities Arm2'!C76)</f>
        <v>#N/A</v>
      </c>
      <c r="AJ76" s="117" t="e">
        <f t="shared" si="7"/>
        <v>#N/A</v>
      </c>
      <c r="AK76" s="117" t="e">
        <f t="shared" si="8"/>
        <v>#N/A</v>
      </c>
      <c r="AL76" s="117" t="e">
        <f t="shared" si="11"/>
        <v>#N/A</v>
      </c>
      <c r="AM76" s="117" t="e">
        <f t="shared" si="9"/>
        <v>#N/A</v>
      </c>
      <c r="AN76" s="117" t="e">
        <f t="shared" si="10"/>
        <v>#N/A</v>
      </c>
      <c r="AO76" s="475" t="e">
        <f>INDEX('Tariff (hidden)'!$B$4:$B$133,MATCH(B76,'Tariff (hidden)'!$A$4:$A$133,0))</f>
        <v>#N/A</v>
      </c>
      <c r="DW76" s="6"/>
      <c r="DX76" s="6"/>
      <c r="DY76" s="6"/>
      <c r="DZ76" s="6"/>
      <c r="EA76" s="6"/>
      <c r="EB76" s="6"/>
      <c r="EC76" s="6"/>
      <c r="ED76" s="6"/>
    </row>
    <row r="77" spans="1:134" x14ac:dyDescent="0.25">
      <c r="A77" s="110"/>
      <c r="B77" s="111"/>
      <c r="C77" s="112"/>
      <c r="D77" s="111"/>
      <c r="E77" s="545"/>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5"/>
      <c r="AI77" s="116" t="e">
        <f>IF(INDEX(TARIFF_TABLE[#All], MATCH($B77,TARIFF_TABLE[[#All],[Activity]],0),MATCH("ActivityType",TARIFF_TABLE[#Headers]))="Investigation",INDEX(TARIFF_TABLE[#All], MATCH($B77,TARIFF_TABLE[[#All],[Activity]],0),MATCH("Cost",TARIFF_TABLE[#Headers],0)),INDEX(Staff_Costs[#All],MATCH('Per-Participant Activities Arm2'!D77,Staff_Costs[[#All],[Role]],0),MATCH("Per-minute cost",Staff_Costs[#Headers],0))*'Per-Participant Activities Arm2'!C77)</f>
        <v>#N/A</v>
      </c>
      <c r="AJ77" s="117" t="e">
        <f t="shared" si="7"/>
        <v>#N/A</v>
      </c>
      <c r="AK77" s="117" t="e">
        <f t="shared" si="8"/>
        <v>#N/A</v>
      </c>
      <c r="AL77" s="117" t="e">
        <f t="shared" si="11"/>
        <v>#N/A</v>
      </c>
      <c r="AM77" s="117" t="e">
        <f t="shared" si="9"/>
        <v>#N/A</v>
      </c>
      <c r="AN77" s="117" t="e">
        <f t="shared" si="10"/>
        <v>#N/A</v>
      </c>
      <c r="AO77" s="475" t="e">
        <f>INDEX('Tariff (hidden)'!$B$4:$B$133,MATCH(B77,'Tariff (hidden)'!$A$4:$A$133,0))</f>
        <v>#N/A</v>
      </c>
      <c r="DW77" s="6"/>
      <c r="DX77" s="6"/>
      <c r="DY77" s="6"/>
      <c r="DZ77" s="6"/>
      <c r="EA77" s="6"/>
      <c r="EB77" s="6"/>
      <c r="EC77" s="6"/>
      <c r="ED77" s="6"/>
    </row>
    <row r="78" spans="1:134" x14ac:dyDescent="0.25">
      <c r="A78" s="110"/>
      <c r="B78" s="111"/>
      <c r="C78" s="112"/>
      <c r="D78" s="111"/>
      <c r="E78" s="545"/>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5"/>
      <c r="AI78" s="116" t="e">
        <f>IF(INDEX(TARIFF_TABLE[#All], MATCH($B78,TARIFF_TABLE[[#All],[Activity]],0),MATCH("ActivityType",TARIFF_TABLE[#Headers]))="Investigation",INDEX(TARIFF_TABLE[#All], MATCH($B78,TARIFF_TABLE[[#All],[Activity]],0),MATCH("Cost",TARIFF_TABLE[#Headers],0)),INDEX(Staff_Costs[#All],MATCH('Per-Participant Activities Arm2'!D78,Staff_Costs[[#All],[Role]],0),MATCH("Per-minute cost",Staff_Costs[#Headers],0))*'Per-Participant Activities Arm2'!C78)</f>
        <v>#N/A</v>
      </c>
      <c r="AJ78" s="117" t="e">
        <f t="shared" si="7"/>
        <v>#N/A</v>
      </c>
      <c r="AK78" s="117" t="e">
        <f t="shared" si="8"/>
        <v>#N/A</v>
      </c>
      <c r="AL78" s="117" t="e">
        <f t="shared" si="11"/>
        <v>#N/A</v>
      </c>
      <c r="AM78" s="117" t="e">
        <f t="shared" si="9"/>
        <v>#N/A</v>
      </c>
      <c r="AN78" s="117" t="e">
        <f t="shared" si="10"/>
        <v>#N/A</v>
      </c>
      <c r="AO78" s="475" t="e">
        <f>INDEX('Tariff (hidden)'!$B$4:$B$133,MATCH(B78,'Tariff (hidden)'!$A$4:$A$133,0))</f>
        <v>#N/A</v>
      </c>
      <c r="DW78" s="6"/>
      <c r="DX78" s="6"/>
      <c r="DY78" s="6"/>
      <c r="DZ78" s="6"/>
      <c r="EA78" s="6"/>
      <c r="EB78" s="6"/>
      <c r="EC78" s="6"/>
      <c r="ED78" s="6"/>
    </row>
    <row r="79" spans="1:134" x14ac:dyDescent="0.25">
      <c r="A79" s="110"/>
      <c r="B79" s="111"/>
      <c r="C79" s="112"/>
      <c r="D79" s="111"/>
      <c r="E79" s="545"/>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5"/>
      <c r="AI79" s="116" t="e">
        <f>IF(INDEX(TARIFF_TABLE[#All], MATCH($B79,TARIFF_TABLE[[#All],[Activity]],0),MATCH("ActivityType",TARIFF_TABLE[#Headers]))="Investigation",INDEX(TARIFF_TABLE[#All], MATCH($B79,TARIFF_TABLE[[#All],[Activity]],0),MATCH("Cost",TARIFF_TABLE[#Headers],0)),INDEX(Staff_Costs[#All],MATCH('Per-Participant Activities Arm2'!D79,Staff_Costs[[#All],[Role]],0),MATCH("Per-minute cost",Staff_Costs[#Headers],0))*'Per-Participant Activities Arm2'!C79)</f>
        <v>#N/A</v>
      </c>
      <c r="AJ79" s="117" t="e">
        <f t="shared" si="7"/>
        <v>#N/A</v>
      </c>
      <c r="AK79" s="117" t="e">
        <f t="shared" si="8"/>
        <v>#N/A</v>
      </c>
      <c r="AL79" s="117" t="e">
        <f t="shared" si="11"/>
        <v>#N/A</v>
      </c>
      <c r="AM79" s="117" t="e">
        <f t="shared" si="9"/>
        <v>#N/A</v>
      </c>
      <c r="AN79" s="117" t="e">
        <f t="shared" si="10"/>
        <v>#N/A</v>
      </c>
      <c r="AO79" s="475" t="e">
        <f>INDEX('Tariff (hidden)'!$B$4:$B$133,MATCH(B79,'Tariff (hidden)'!$A$4:$A$133,0))</f>
        <v>#N/A</v>
      </c>
      <c r="DW79" s="6"/>
      <c r="DX79" s="6"/>
      <c r="DY79" s="6"/>
      <c r="DZ79" s="6"/>
      <c r="EA79" s="6"/>
      <c r="EB79" s="6"/>
      <c r="EC79" s="6"/>
      <c r="ED79" s="6"/>
    </row>
    <row r="80" spans="1:134" x14ac:dyDescent="0.25">
      <c r="A80" s="110"/>
      <c r="B80" s="111"/>
      <c r="C80" s="112"/>
      <c r="D80" s="111"/>
      <c r="E80" s="545"/>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5"/>
      <c r="AI80" s="116" t="e">
        <f>IF(INDEX(TARIFF_TABLE[#All], MATCH($B80,TARIFF_TABLE[[#All],[Activity]],0),MATCH("ActivityType",TARIFF_TABLE[#Headers]))="Investigation",INDEX(TARIFF_TABLE[#All], MATCH($B80,TARIFF_TABLE[[#All],[Activity]],0),MATCH("Cost",TARIFF_TABLE[#Headers],0)),INDEX(Staff_Costs[#All],MATCH('Per-Participant Activities Arm2'!D80,Staff_Costs[[#All],[Role]],0),MATCH("Per-minute cost",Staff_Costs[#Headers],0))*'Per-Participant Activities Arm2'!C80)</f>
        <v>#N/A</v>
      </c>
      <c r="AJ80" s="117" t="e">
        <f t="shared" si="7"/>
        <v>#N/A</v>
      </c>
      <c r="AK80" s="117" t="e">
        <f t="shared" si="8"/>
        <v>#N/A</v>
      </c>
      <c r="AL80" s="117" t="e">
        <f t="shared" si="11"/>
        <v>#N/A</v>
      </c>
      <c r="AM80" s="117" t="e">
        <f t="shared" si="9"/>
        <v>#N/A</v>
      </c>
      <c r="AN80" s="117" t="e">
        <f t="shared" si="10"/>
        <v>#N/A</v>
      </c>
      <c r="AO80" s="475" t="e">
        <f>INDEX('Tariff (hidden)'!$B$4:$B$133,MATCH(B80,'Tariff (hidden)'!$A$4:$A$133,0))</f>
        <v>#N/A</v>
      </c>
      <c r="DW80" s="6"/>
      <c r="DX80" s="6"/>
      <c r="DY80" s="6"/>
      <c r="DZ80" s="6"/>
      <c r="EA80" s="6"/>
      <c r="EB80" s="6"/>
      <c r="EC80" s="6"/>
      <c r="ED80" s="6"/>
    </row>
    <row r="81" spans="1:134" x14ac:dyDescent="0.25">
      <c r="A81" s="110"/>
      <c r="B81" s="111"/>
      <c r="C81" s="112"/>
      <c r="D81" s="111"/>
      <c r="E81" s="545"/>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5"/>
      <c r="AI81" s="116" t="e">
        <f>IF(INDEX(TARIFF_TABLE[#All], MATCH($B81,TARIFF_TABLE[[#All],[Activity]],0),MATCH("ActivityType",TARIFF_TABLE[#Headers]))="Investigation",INDEX(TARIFF_TABLE[#All], MATCH($B81,TARIFF_TABLE[[#All],[Activity]],0),MATCH("Cost",TARIFF_TABLE[#Headers],0)),INDEX(Staff_Costs[#All],MATCH('Per-Participant Activities Arm2'!D81,Staff_Costs[[#All],[Role]],0),MATCH("Per-minute cost",Staff_Costs[#Headers],0))*'Per-Participant Activities Arm2'!C81)</f>
        <v>#N/A</v>
      </c>
      <c r="AJ81" s="117" t="e">
        <f t="shared" si="7"/>
        <v>#N/A</v>
      </c>
      <c r="AK81" s="117" t="e">
        <f t="shared" si="8"/>
        <v>#N/A</v>
      </c>
      <c r="AL81" s="117" t="e">
        <f t="shared" si="11"/>
        <v>#N/A</v>
      </c>
      <c r="AM81" s="117" t="e">
        <f t="shared" si="9"/>
        <v>#N/A</v>
      </c>
      <c r="AN81" s="117" t="e">
        <f t="shared" si="10"/>
        <v>#N/A</v>
      </c>
      <c r="AO81" s="475" t="e">
        <f>INDEX('Tariff (hidden)'!$B$4:$B$133,MATCH(B81,'Tariff (hidden)'!$A$4:$A$133,0))</f>
        <v>#N/A</v>
      </c>
      <c r="DW81" s="6"/>
      <c r="DX81" s="6"/>
      <c r="DY81" s="6"/>
      <c r="DZ81" s="6"/>
      <c r="EA81" s="6"/>
      <c r="EB81" s="6"/>
      <c r="EC81" s="6"/>
      <c r="ED81" s="6"/>
    </row>
    <row r="82" spans="1:134" x14ac:dyDescent="0.25">
      <c r="A82" s="110"/>
      <c r="B82" s="111"/>
      <c r="C82" s="112"/>
      <c r="D82" s="111"/>
      <c r="E82" s="545"/>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5"/>
      <c r="AI82" s="116" t="e">
        <f>IF(INDEX(TARIFF_TABLE[#All], MATCH($B82,TARIFF_TABLE[[#All],[Activity]],0),MATCH("ActivityType",TARIFF_TABLE[#Headers]))="Investigation",INDEX(TARIFF_TABLE[#All], MATCH($B82,TARIFF_TABLE[[#All],[Activity]],0),MATCH("Cost",TARIFF_TABLE[#Headers],0)),INDEX(Staff_Costs[#All],MATCH('Per-Participant Activities Arm2'!D82,Staff_Costs[[#All],[Role]],0),MATCH("Per-minute cost",Staff_Costs[#Headers],0))*'Per-Participant Activities Arm2'!C82)</f>
        <v>#N/A</v>
      </c>
      <c r="AJ82" s="117" t="e">
        <f t="shared" si="7"/>
        <v>#N/A</v>
      </c>
      <c r="AK82" s="117" t="e">
        <f t="shared" si="8"/>
        <v>#N/A</v>
      </c>
      <c r="AL82" s="117" t="e">
        <f t="shared" si="11"/>
        <v>#N/A</v>
      </c>
      <c r="AM82" s="117" t="e">
        <f t="shared" si="9"/>
        <v>#N/A</v>
      </c>
      <c r="AN82" s="117" t="e">
        <f t="shared" si="10"/>
        <v>#N/A</v>
      </c>
      <c r="AO82" s="475" t="e">
        <f>INDEX('Tariff (hidden)'!$B$4:$B$133,MATCH(B82,'Tariff (hidden)'!$A$4:$A$133,0))</f>
        <v>#N/A</v>
      </c>
      <c r="DW82" s="6"/>
      <c r="DX82" s="6"/>
      <c r="DY82" s="6"/>
      <c r="DZ82" s="6"/>
      <c r="EA82" s="6"/>
      <c r="EB82" s="6"/>
      <c r="EC82" s="6"/>
      <c r="ED82" s="6"/>
    </row>
    <row r="83" spans="1:134" x14ac:dyDescent="0.25">
      <c r="A83" s="110"/>
      <c r="B83" s="111"/>
      <c r="C83" s="112"/>
      <c r="D83" s="111"/>
      <c r="E83" s="545"/>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5"/>
      <c r="AI83" s="116" t="e">
        <f>IF(INDEX(TARIFF_TABLE[#All], MATCH($B83,TARIFF_TABLE[[#All],[Activity]],0),MATCH("ActivityType",TARIFF_TABLE[#Headers]))="Investigation",INDEX(TARIFF_TABLE[#All], MATCH($B83,TARIFF_TABLE[[#All],[Activity]],0),MATCH("Cost",TARIFF_TABLE[#Headers],0)),INDEX(Staff_Costs[#All],MATCH('Per-Participant Activities Arm2'!D83,Staff_Costs[[#All],[Role]],0),MATCH("Per-minute cost",Staff_Costs[#Headers],0))*'Per-Participant Activities Arm2'!C83)</f>
        <v>#N/A</v>
      </c>
      <c r="AJ83" s="117" t="e">
        <f t="shared" si="7"/>
        <v>#N/A</v>
      </c>
      <c r="AK83" s="117" t="e">
        <f t="shared" si="8"/>
        <v>#N/A</v>
      </c>
      <c r="AL83" s="117" t="e">
        <f t="shared" si="11"/>
        <v>#N/A</v>
      </c>
      <c r="AM83" s="117" t="e">
        <f t="shared" si="9"/>
        <v>#N/A</v>
      </c>
      <c r="AN83" s="117" t="e">
        <f t="shared" si="10"/>
        <v>#N/A</v>
      </c>
      <c r="AO83" s="475" t="e">
        <f>INDEX('Tariff (hidden)'!$B$4:$B$133,MATCH(B83,'Tariff (hidden)'!$A$4:$A$133,0))</f>
        <v>#N/A</v>
      </c>
      <c r="DW83" s="6"/>
      <c r="DX83" s="6"/>
      <c r="DY83" s="6"/>
      <c r="DZ83" s="6"/>
      <c r="EA83" s="6"/>
      <c r="EB83" s="6"/>
      <c r="EC83" s="6"/>
      <c r="ED83" s="6"/>
    </row>
    <row r="84" spans="1:134" x14ac:dyDescent="0.25">
      <c r="A84" s="110"/>
      <c r="B84" s="111"/>
      <c r="C84" s="112"/>
      <c r="D84" s="111"/>
      <c r="E84" s="545"/>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5"/>
      <c r="AI84" s="116" t="e">
        <f>IF(INDEX(TARIFF_TABLE[#All], MATCH($B84,TARIFF_TABLE[[#All],[Activity]],0),MATCH("ActivityType",TARIFF_TABLE[#Headers]))="Investigation",INDEX(TARIFF_TABLE[#All], MATCH($B84,TARIFF_TABLE[[#All],[Activity]],0),MATCH("Cost",TARIFF_TABLE[#Headers],0)),INDEX(Staff_Costs[#All],MATCH('Per-Participant Activities Arm2'!D84,Staff_Costs[[#All],[Role]],0),MATCH("Per-minute cost",Staff_Costs[#Headers],0))*'Per-Participant Activities Arm2'!C84)</f>
        <v>#N/A</v>
      </c>
      <c r="AJ84" s="117" t="e">
        <f t="shared" si="7"/>
        <v>#N/A</v>
      </c>
      <c r="AK84" s="117" t="e">
        <f t="shared" si="8"/>
        <v>#N/A</v>
      </c>
      <c r="AL84" s="117" t="e">
        <f t="shared" si="11"/>
        <v>#N/A</v>
      </c>
      <c r="AM84" s="117" t="e">
        <f t="shared" si="9"/>
        <v>#N/A</v>
      </c>
      <c r="AN84" s="117" t="e">
        <f t="shared" si="10"/>
        <v>#N/A</v>
      </c>
      <c r="AO84" s="475" t="e">
        <f>INDEX('Tariff (hidden)'!$B$4:$B$133,MATCH(B84,'Tariff (hidden)'!$A$4:$A$133,0))</f>
        <v>#N/A</v>
      </c>
      <c r="DW84" s="6"/>
      <c r="DX84" s="6"/>
      <c r="DY84" s="6"/>
      <c r="DZ84" s="6"/>
      <c r="EA84" s="6"/>
      <c r="EB84" s="6"/>
      <c r="EC84" s="6"/>
      <c r="ED84" s="6"/>
    </row>
    <row r="85" spans="1:134" x14ac:dyDescent="0.25">
      <c r="A85" s="110"/>
      <c r="B85" s="111"/>
      <c r="C85" s="112"/>
      <c r="D85" s="111"/>
      <c r="E85" s="545"/>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5"/>
      <c r="AI85" s="116" t="e">
        <f>IF(INDEX(TARIFF_TABLE[#All], MATCH($B85,TARIFF_TABLE[[#All],[Activity]],0),MATCH("ActivityType",TARIFF_TABLE[#Headers]))="Investigation",INDEX(TARIFF_TABLE[#All], MATCH($B85,TARIFF_TABLE[[#All],[Activity]],0),MATCH("Cost",TARIFF_TABLE[#Headers],0)),INDEX(Staff_Costs[#All],MATCH('Per-Participant Activities Arm2'!D85,Staff_Costs[[#All],[Role]],0),MATCH("Per-minute cost",Staff_Costs[#Headers],0))*'Per-Participant Activities Arm2'!C85)</f>
        <v>#N/A</v>
      </c>
      <c r="AJ85" s="117" t="e">
        <f t="shared" si="7"/>
        <v>#N/A</v>
      </c>
      <c r="AK85" s="117" t="e">
        <f t="shared" si="8"/>
        <v>#N/A</v>
      </c>
      <c r="AL85" s="117" t="e">
        <f t="shared" si="11"/>
        <v>#N/A</v>
      </c>
      <c r="AM85" s="117" t="e">
        <f t="shared" si="9"/>
        <v>#N/A</v>
      </c>
      <c r="AN85" s="117" t="e">
        <f t="shared" si="10"/>
        <v>#N/A</v>
      </c>
      <c r="AO85" s="475" t="e">
        <f>INDEX('Tariff (hidden)'!$B$4:$B$133,MATCH(B85,'Tariff (hidden)'!$A$4:$A$133,0))</f>
        <v>#N/A</v>
      </c>
      <c r="DW85" s="6"/>
      <c r="DX85" s="6"/>
      <c r="DY85" s="6"/>
      <c r="DZ85" s="6"/>
      <c r="EA85" s="6"/>
      <c r="EB85" s="6"/>
      <c r="EC85" s="6"/>
      <c r="ED85" s="6"/>
    </row>
    <row r="86" spans="1:134" x14ac:dyDescent="0.25">
      <c r="A86" s="110"/>
      <c r="B86" s="111"/>
      <c r="C86" s="112"/>
      <c r="D86" s="111"/>
      <c r="E86" s="545"/>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5"/>
      <c r="AI86" s="116" t="e">
        <f>IF(INDEX(TARIFF_TABLE[#All], MATCH($B86,TARIFF_TABLE[[#All],[Activity]],0),MATCH("ActivityType",TARIFF_TABLE[#Headers]))="Investigation",INDEX(TARIFF_TABLE[#All], MATCH($B86,TARIFF_TABLE[[#All],[Activity]],0),MATCH("Cost",TARIFF_TABLE[#Headers],0)),INDEX(Staff_Costs[#All],MATCH('Per-Participant Activities Arm2'!D86,Staff_Costs[[#All],[Role]],0),MATCH("Per-minute cost",Staff_Costs[#Headers],0))*'Per-Participant Activities Arm2'!C86)</f>
        <v>#N/A</v>
      </c>
      <c r="AJ86" s="117" t="e">
        <f t="shared" si="7"/>
        <v>#N/A</v>
      </c>
      <c r="AK86" s="117" t="e">
        <f t="shared" si="8"/>
        <v>#N/A</v>
      </c>
      <c r="AL86" s="117" t="e">
        <f t="shared" si="11"/>
        <v>#N/A</v>
      </c>
      <c r="AM86" s="117" t="e">
        <f t="shared" si="9"/>
        <v>#N/A</v>
      </c>
      <c r="AN86" s="117" t="e">
        <f t="shared" si="10"/>
        <v>#N/A</v>
      </c>
      <c r="AO86" s="475" t="e">
        <f>INDEX('Tariff (hidden)'!$B$4:$B$133,MATCH(B86,'Tariff (hidden)'!$A$4:$A$133,0))</f>
        <v>#N/A</v>
      </c>
      <c r="DW86" s="6"/>
      <c r="DX86" s="6"/>
      <c r="DY86" s="6"/>
      <c r="DZ86" s="6"/>
      <c r="EA86" s="6"/>
      <c r="EB86" s="6"/>
      <c r="EC86" s="6"/>
      <c r="ED86" s="6"/>
    </row>
    <row r="87" spans="1:134" x14ac:dyDescent="0.25">
      <c r="A87" s="110"/>
      <c r="B87" s="111"/>
      <c r="C87" s="112"/>
      <c r="D87" s="111"/>
      <c r="E87" s="545"/>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5"/>
      <c r="AI87" s="116" t="e">
        <f>IF(INDEX(TARIFF_TABLE[#All], MATCH($B87,TARIFF_TABLE[[#All],[Activity]],0),MATCH("ActivityType",TARIFF_TABLE[#Headers]))="Investigation",INDEX(TARIFF_TABLE[#All], MATCH($B87,TARIFF_TABLE[[#All],[Activity]],0),MATCH("Cost",TARIFF_TABLE[#Headers],0)),INDEX(Staff_Costs[#All],MATCH('Per-Participant Activities Arm2'!D87,Staff_Costs[[#All],[Role]],0),MATCH("Per-minute cost",Staff_Costs[#Headers],0))*'Per-Participant Activities Arm2'!C87)</f>
        <v>#N/A</v>
      </c>
      <c r="AJ87" s="117" t="e">
        <f t="shared" si="7"/>
        <v>#N/A</v>
      </c>
      <c r="AK87" s="117" t="e">
        <f t="shared" si="8"/>
        <v>#N/A</v>
      </c>
      <c r="AL87" s="117" t="e">
        <f t="shared" si="11"/>
        <v>#N/A</v>
      </c>
      <c r="AM87" s="117" t="e">
        <f t="shared" si="9"/>
        <v>#N/A</v>
      </c>
      <c r="AN87" s="117" t="e">
        <f t="shared" si="10"/>
        <v>#N/A</v>
      </c>
      <c r="AO87" s="475" t="e">
        <f>INDEX('Tariff (hidden)'!$B$4:$B$133,MATCH(B87,'Tariff (hidden)'!$A$4:$A$133,0))</f>
        <v>#N/A</v>
      </c>
      <c r="DW87" s="6"/>
      <c r="DX87" s="6"/>
      <c r="DY87" s="6"/>
      <c r="DZ87" s="6"/>
      <c r="EA87" s="6"/>
      <c r="EB87" s="6"/>
      <c r="EC87" s="6"/>
      <c r="ED87" s="6"/>
    </row>
    <row r="88" spans="1:134" x14ac:dyDescent="0.25">
      <c r="A88" s="110"/>
      <c r="B88" s="111"/>
      <c r="C88" s="112"/>
      <c r="D88" s="111"/>
      <c r="E88" s="545"/>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5"/>
      <c r="AI88" s="116" t="e">
        <f>IF(INDEX(TARIFF_TABLE[#All], MATCH($B88,TARIFF_TABLE[[#All],[Activity]],0),MATCH("ActivityType",TARIFF_TABLE[#Headers]))="Investigation",INDEX(TARIFF_TABLE[#All], MATCH($B88,TARIFF_TABLE[[#All],[Activity]],0),MATCH("Cost",TARIFF_TABLE[#Headers],0)),INDEX(Staff_Costs[#All],MATCH('Per-Participant Activities Arm2'!D88,Staff_Costs[[#All],[Role]],0),MATCH("Per-minute cost",Staff_Costs[#Headers],0))*'Per-Participant Activities Arm2'!C88)</f>
        <v>#N/A</v>
      </c>
      <c r="AJ88" s="117" t="e">
        <f t="shared" si="7"/>
        <v>#N/A</v>
      </c>
      <c r="AK88" s="117" t="e">
        <f t="shared" si="8"/>
        <v>#N/A</v>
      </c>
      <c r="AL88" s="117" t="e">
        <f t="shared" si="11"/>
        <v>#N/A</v>
      </c>
      <c r="AM88" s="117" t="e">
        <f t="shared" si="9"/>
        <v>#N/A</v>
      </c>
      <c r="AN88" s="117" t="e">
        <f t="shared" si="10"/>
        <v>#N/A</v>
      </c>
      <c r="AO88" s="475" t="e">
        <f>INDEX('Tariff (hidden)'!$B$4:$B$133,MATCH(B88,'Tariff (hidden)'!$A$4:$A$133,0))</f>
        <v>#N/A</v>
      </c>
      <c r="DW88" s="6"/>
      <c r="DX88" s="6"/>
      <c r="DY88" s="6"/>
      <c r="DZ88" s="6"/>
      <c r="EA88" s="6"/>
      <c r="EB88" s="6"/>
      <c r="EC88" s="6"/>
      <c r="ED88" s="6"/>
    </row>
    <row r="89" spans="1:134" x14ac:dyDescent="0.25">
      <c r="A89" s="110"/>
      <c r="B89" s="111"/>
      <c r="C89" s="112"/>
      <c r="D89" s="111"/>
      <c r="E89" s="545"/>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5"/>
      <c r="AI89" s="116" t="e">
        <f>IF(INDEX(TARIFF_TABLE[#All], MATCH($B89,TARIFF_TABLE[[#All],[Activity]],0),MATCH("ActivityType",TARIFF_TABLE[#Headers]))="Investigation",INDEX(TARIFF_TABLE[#All], MATCH($B89,TARIFF_TABLE[[#All],[Activity]],0),MATCH("Cost",TARIFF_TABLE[#Headers],0)),INDEX(Staff_Costs[#All],MATCH('Per-Participant Activities Arm2'!D89,Staff_Costs[[#All],[Role]],0),MATCH("Per-minute cost",Staff_Costs[#Headers],0))*'Per-Participant Activities Arm2'!C89)</f>
        <v>#N/A</v>
      </c>
      <c r="AJ89" s="117" t="e">
        <f t="shared" si="7"/>
        <v>#N/A</v>
      </c>
      <c r="AK89" s="117" t="e">
        <f t="shared" si="8"/>
        <v>#N/A</v>
      </c>
      <c r="AL89" s="117" t="e">
        <f t="shared" si="11"/>
        <v>#N/A</v>
      </c>
      <c r="AM89" s="117" t="e">
        <f t="shared" si="9"/>
        <v>#N/A</v>
      </c>
      <c r="AN89" s="117" t="e">
        <f t="shared" si="10"/>
        <v>#N/A</v>
      </c>
      <c r="AO89" s="475" t="e">
        <f>INDEX('Tariff (hidden)'!$B$4:$B$133,MATCH(B89,'Tariff (hidden)'!$A$4:$A$133,0))</f>
        <v>#N/A</v>
      </c>
      <c r="DW89" s="6"/>
      <c r="DX89" s="6"/>
      <c r="DY89" s="6"/>
      <c r="DZ89" s="6"/>
      <c r="EA89" s="6"/>
      <c r="EB89" s="6"/>
      <c r="EC89" s="6"/>
      <c r="ED89" s="6"/>
    </row>
    <row r="90" spans="1:134" x14ac:dyDescent="0.25">
      <c r="A90" s="110"/>
      <c r="B90" s="111"/>
      <c r="C90" s="112"/>
      <c r="D90" s="111"/>
      <c r="E90" s="545"/>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5"/>
      <c r="AI90" s="116" t="e">
        <f>IF(INDEX(TARIFF_TABLE[#All], MATCH($B90,TARIFF_TABLE[[#All],[Activity]],0),MATCH("ActivityType",TARIFF_TABLE[#Headers]))="Investigation",INDEX(TARIFF_TABLE[#All], MATCH($B90,TARIFF_TABLE[[#All],[Activity]],0),MATCH("Cost",TARIFF_TABLE[#Headers],0)),INDEX(Staff_Costs[#All],MATCH('Per-Participant Activities Arm2'!D90,Staff_Costs[[#All],[Role]],0),MATCH("Per-minute cost",Staff_Costs[#Headers],0))*'Per-Participant Activities Arm2'!C90)</f>
        <v>#N/A</v>
      </c>
      <c r="AJ90" s="117" t="e">
        <f t="shared" si="7"/>
        <v>#N/A</v>
      </c>
      <c r="AK90" s="117" t="e">
        <f t="shared" si="8"/>
        <v>#N/A</v>
      </c>
      <c r="AL90" s="117" t="e">
        <f t="shared" si="11"/>
        <v>#N/A</v>
      </c>
      <c r="AM90" s="117" t="e">
        <f t="shared" si="9"/>
        <v>#N/A</v>
      </c>
      <c r="AN90" s="117" t="e">
        <f t="shared" si="10"/>
        <v>#N/A</v>
      </c>
      <c r="AO90" s="475" t="e">
        <f>INDEX('Tariff (hidden)'!$B$4:$B$133,MATCH(B90,'Tariff (hidden)'!$A$4:$A$133,0))</f>
        <v>#N/A</v>
      </c>
      <c r="DW90" s="6"/>
      <c r="DX90" s="6"/>
      <c r="DY90" s="6"/>
      <c r="DZ90" s="6"/>
      <c r="EA90" s="6"/>
      <c r="EB90" s="6"/>
      <c r="EC90" s="6"/>
      <c r="ED90" s="6"/>
    </row>
    <row r="91" spans="1:134" x14ac:dyDescent="0.25">
      <c r="A91" s="110"/>
      <c r="B91" s="111"/>
      <c r="C91" s="112"/>
      <c r="D91" s="111"/>
      <c r="E91" s="545"/>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5"/>
      <c r="AI91" s="116" t="e">
        <f>IF(INDEX(TARIFF_TABLE[#All], MATCH($B91,TARIFF_TABLE[[#All],[Activity]],0),MATCH("ActivityType",TARIFF_TABLE[#Headers]))="Investigation",INDEX(TARIFF_TABLE[#All], MATCH($B91,TARIFF_TABLE[[#All],[Activity]],0),MATCH("Cost",TARIFF_TABLE[#Headers],0)),INDEX(Staff_Costs[#All],MATCH('Per-Participant Activities Arm2'!D91,Staff_Costs[[#All],[Role]],0),MATCH("Per-minute cost",Staff_Costs[#Headers],0))*'Per-Participant Activities Arm2'!C91)</f>
        <v>#N/A</v>
      </c>
      <c r="AJ91" s="117" t="e">
        <f t="shared" si="7"/>
        <v>#N/A</v>
      </c>
      <c r="AK91" s="117" t="e">
        <f t="shared" si="8"/>
        <v>#N/A</v>
      </c>
      <c r="AL91" s="117" t="e">
        <f t="shared" si="11"/>
        <v>#N/A</v>
      </c>
      <c r="AM91" s="117" t="e">
        <f t="shared" si="9"/>
        <v>#N/A</v>
      </c>
      <c r="AN91" s="117" t="e">
        <f t="shared" si="10"/>
        <v>#N/A</v>
      </c>
      <c r="AO91" s="475" t="e">
        <f>INDEX('Tariff (hidden)'!$B$4:$B$133,MATCH(B91,'Tariff (hidden)'!$A$4:$A$133,0))</f>
        <v>#N/A</v>
      </c>
      <c r="DW91" s="6"/>
      <c r="DX91" s="6"/>
      <c r="DY91" s="6"/>
      <c r="DZ91" s="6"/>
      <c r="EA91" s="6"/>
      <c r="EB91" s="6"/>
      <c r="EC91" s="6"/>
      <c r="ED91" s="6"/>
    </row>
    <row r="92" spans="1:134" x14ac:dyDescent="0.25">
      <c r="A92" s="110"/>
      <c r="B92" s="111"/>
      <c r="C92" s="112"/>
      <c r="D92" s="111"/>
      <c r="E92" s="545"/>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5"/>
      <c r="AI92" s="116" t="e">
        <f>IF(INDEX(TARIFF_TABLE[#All], MATCH($B92,TARIFF_TABLE[[#All],[Activity]],0),MATCH("ActivityType",TARIFF_TABLE[#Headers]))="Investigation",INDEX(TARIFF_TABLE[#All], MATCH($B92,TARIFF_TABLE[[#All],[Activity]],0),MATCH("Cost",TARIFF_TABLE[#Headers],0)),INDEX(Staff_Costs[#All],MATCH('Per-Participant Activities Arm2'!D92,Staff_Costs[[#All],[Role]],0),MATCH("Per-minute cost",Staff_Costs[#Headers],0))*'Per-Participant Activities Arm2'!C92)</f>
        <v>#N/A</v>
      </c>
      <c r="AJ92" s="117" t="e">
        <f t="shared" si="7"/>
        <v>#N/A</v>
      </c>
      <c r="AK92" s="117" t="e">
        <f t="shared" si="8"/>
        <v>#N/A</v>
      </c>
      <c r="AL92" s="117" t="e">
        <f t="shared" si="11"/>
        <v>#N/A</v>
      </c>
      <c r="AM92" s="117" t="e">
        <f t="shared" si="9"/>
        <v>#N/A</v>
      </c>
      <c r="AN92" s="117" t="e">
        <f t="shared" si="10"/>
        <v>#N/A</v>
      </c>
      <c r="AO92" s="475" t="e">
        <f>INDEX('Tariff (hidden)'!$B$4:$B$133,MATCH(B92,'Tariff (hidden)'!$A$4:$A$133,0))</f>
        <v>#N/A</v>
      </c>
      <c r="DW92" s="6"/>
      <c r="DX92" s="6"/>
      <c r="DY92" s="6"/>
      <c r="DZ92" s="6"/>
      <c r="EA92" s="6"/>
      <c r="EB92" s="6"/>
      <c r="EC92" s="6"/>
      <c r="ED92" s="6"/>
    </row>
    <row r="93" spans="1:134" x14ac:dyDescent="0.25">
      <c r="A93" s="110"/>
      <c r="B93" s="111"/>
      <c r="C93" s="112"/>
      <c r="D93" s="111"/>
      <c r="E93" s="545"/>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5"/>
      <c r="AI93" s="116" t="e">
        <f>IF(INDEX(TARIFF_TABLE[#All], MATCH($B93,TARIFF_TABLE[[#All],[Activity]],0),MATCH("ActivityType",TARIFF_TABLE[#Headers]))="Investigation",INDEX(TARIFF_TABLE[#All], MATCH($B93,TARIFF_TABLE[[#All],[Activity]],0),MATCH("Cost",TARIFF_TABLE[#Headers],0)),INDEX(Staff_Costs[#All],MATCH('Per-Participant Activities Arm2'!D93,Staff_Costs[[#All],[Role]],0),MATCH("Per-minute cost",Staff_Costs[#Headers],0))*'Per-Participant Activities Arm2'!C93)</f>
        <v>#N/A</v>
      </c>
      <c r="AJ93" s="117" t="e">
        <f t="shared" si="7"/>
        <v>#N/A</v>
      </c>
      <c r="AK93" s="117" t="e">
        <f t="shared" si="8"/>
        <v>#N/A</v>
      </c>
      <c r="AL93" s="117" t="e">
        <f t="shared" si="11"/>
        <v>#N/A</v>
      </c>
      <c r="AM93" s="117" t="e">
        <f t="shared" si="9"/>
        <v>#N/A</v>
      </c>
      <c r="AN93" s="117" t="e">
        <f t="shared" si="10"/>
        <v>#N/A</v>
      </c>
      <c r="AO93" s="475" t="e">
        <f>INDEX('Tariff (hidden)'!$B$4:$B$133,MATCH(B93,'Tariff (hidden)'!$A$4:$A$133,0))</f>
        <v>#N/A</v>
      </c>
      <c r="DW93" s="6"/>
      <c r="DX93" s="6"/>
      <c r="DY93" s="6"/>
      <c r="DZ93" s="6"/>
      <c r="EA93" s="6"/>
      <c r="EB93" s="6"/>
      <c r="EC93" s="6"/>
      <c r="ED93" s="6"/>
    </row>
    <row r="94" spans="1:134" x14ac:dyDescent="0.25">
      <c r="A94" s="110"/>
      <c r="B94" s="111"/>
      <c r="C94" s="112"/>
      <c r="D94" s="111"/>
      <c r="E94" s="545"/>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5"/>
      <c r="AI94" s="116" t="e">
        <f>IF(INDEX(TARIFF_TABLE[#All], MATCH($B94,TARIFF_TABLE[[#All],[Activity]],0),MATCH("ActivityType",TARIFF_TABLE[#Headers]))="Investigation",INDEX(TARIFF_TABLE[#All], MATCH($B94,TARIFF_TABLE[[#All],[Activity]],0),MATCH("Cost",TARIFF_TABLE[#Headers],0)),INDEX(Staff_Costs[#All],MATCH('Per-Participant Activities Arm2'!D94,Staff_Costs[[#All],[Role]],0),MATCH("Per-minute cost",Staff_Costs[#Headers],0))*'Per-Participant Activities Arm2'!C94)</f>
        <v>#N/A</v>
      </c>
      <c r="AJ94" s="117" t="e">
        <f t="shared" si="7"/>
        <v>#N/A</v>
      </c>
      <c r="AK94" s="117" t="e">
        <f t="shared" si="8"/>
        <v>#N/A</v>
      </c>
      <c r="AL94" s="117" t="e">
        <f t="shared" si="11"/>
        <v>#N/A</v>
      </c>
      <c r="AM94" s="117" t="e">
        <f t="shared" si="9"/>
        <v>#N/A</v>
      </c>
      <c r="AN94" s="117" t="e">
        <f t="shared" si="10"/>
        <v>#N/A</v>
      </c>
      <c r="AO94" s="475" t="e">
        <f>INDEX('Tariff (hidden)'!$B$4:$B$133,MATCH(B94,'Tariff (hidden)'!$A$4:$A$133,0))</f>
        <v>#N/A</v>
      </c>
      <c r="DW94" s="6"/>
      <c r="DX94" s="6"/>
      <c r="DY94" s="6"/>
      <c r="DZ94" s="6"/>
      <c r="EA94" s="6"/>
      <c r="EB94" s="6"/>
      <c r="EC94" s="6"/>
      <c r="ED94" s="6"/>
    </row>
    <row r="95" spans="1:134" x14ac:dyDescent="0.25">
      <c r="A95" s="110"/>
      <c r="B95" s="111"/>
      <c r="C95" s="112"/>
      <c r="D95" s="111"/>
      <c r="E95" s="545"/>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5"/>
      <c r="AI95" s="116" t="e">
        <f>IF(INDEX(TARIFF_TABLE[#All], MATCH($B95,TARIFF_TABLE[[#All],[Activity]],0),MATCH("ActivityType",TARIFF_TABLE[#Headers]))="Investigation",INDEX(TARIFF_TABLE[#All], MATCH($B95,TARIFF_TABLE[[#All],[Activity]],0),MATCH("Cost",TARIFF_TABLE[#Headers],0)),INDEX(Staff_Costs[#All],MATCH('Per-Participant Activities Arm2'!D95,Staff_Costs[[#All],[Role]],0),MATCH("Per-minute cost",Staff_Costs[#Headers],0))*'Per-Participant Activities Arm2'!C95)</f>
        <v>#N/A</v>
      </c>
      <c r="AJ95" s="117" t="e">
        <f t="shared" si="7"/>
        <v>#N/A</v>
      </c>
      <c r="AK95" s="117" t="e">
        <f t="shared" si="8"/>
        <v>#N/A</v>
      </c>
      <c r="AL95" s="117" t="e">
        <f t="shared" si="11"/>
        <v>#N/A</v>
      </c>
      <c r="AM95" s="117" t="e">
        <f t="shared" si="9"/>
        <v>#N/A</v>
      </c>
      <c r="AN95" s="117" t="e">
        <f t="shared" si="10"/>
        <v>#N/A</v>
      </c>
      <c r="AO95" s="475" t="e">
        <f>INDEX('Tariff (hidden)'!$B$4:$B$133,MATCH(B95,'Tariff (hidden)'!$A$4:$A$133,0))</f>
        <v>#N/A</v>
      </c>
      <c r="DW95" s="6"/>
      <c r="DX95" s="6"/>
      <c r="DY95" s="6"/>
      <c r="DZ95" s="6"/>
      <c r="EA95" s="6"/>
      <c r="EB95" s="6"/>
      <c r="EC95" s="6"/>
      <c r="ED95" s="6"/>
    </row>
    <row r="96" spans="1:134" x14ac:dyDescent="0.25">
      <c r="A96" s="110"/>
      <c r="B96" s="111"/>
      <c r="C96" s="112"/>
      <c r="D96" s="111"/>
      <c r="E96" s="545"/>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5"/>
      <c r="AI96" s="116" t="e">
        <f>IF(INDEX(TARIFF_TABLE[#All], MATCH($B96,TARIFF_TABLE[[#All],[Activity]],0),MATCH("ActivityType",TARIFF_TABLE[#Headers]))="Investigation",INDEX(TARIFF_TABLE[#All], MATCH($B96,TARIFF_TABLE[[#All],[Activity]],0),MATCH("Cost",TARIFF_TABLE[#Headers],0)),INDEX(Staff_Costs[#All],MATCH('Per-Participant Activities Arm2'!D96,Staff_Costs[[#All],[Role]],0),MATCH("Per-minute cost",Staff_Costs[#Headers],0))*'Per-Participant Activities Arm2'!C96)</f>
        <v>#N/A</v>
      </c>
      <c r="AJ96" s="117" t="e">
        <f t="shared" si="7"/>
        <v>#N/A</v>
      </c>
      <c r="AK96" s="117" t="e">
        <f t="shared" si="8"/>
        <v>#N/A</v>
      </c>
      <c r="AL96" s="117" t="e">
        <f t="shared" si="11"/>
        <v>#N/A</v>
      </c>
      <c r="AM96" s="117" t="e">
        <f t="shared" si="9"/>
        <v>#N/A</v>
      </c>
      <c r="AN96" s="117" t="e">
        <f t="shared" si="10"/>
        <v>#N/A</v>
      </c>
      <c r="AO96" s="475" t="e">
        <f>INDEX('Tariff (hidden)'!$B$4:$B$133,MATCH(B96,'Tariff (hidden)'!$A$4:$A$133,0))</f>
        <v>#N/A</v>
      </c>
      <c r="DW96" s="6"/>
      <c r="DX96" s="6"/>
      <c r="DY96" s="6"/>
      <c r="DZ96" s="6"/>
      <c r="EA96" s="6"/>
      <c r="EB96" s="6"/>
      <c r="EC96" s="6"/>
      <c r="ED96" s="6"/>
    </row>
    <row r="97" spans="1:134" x14ac:dyDescent="0.25">
      <c r="A97" s="110"/>
      <c r="B97" s="111"/>
      <c r="C97" s="112"/>
      <c r="D97" s="111"/>
      <c r="E97" s="545"/>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5"/>
      <c r="AI97" s="116" t="e">
        <f>IF(INDEX(TARIFF_TABLE[#All], MATCH($B97,TARIFF_TABLE[[#All],[Activity]],0),MATCH("ActivityType",TARIFF_TABLE[#Headers]))="Investigation",INDEX(TARIFF_TABLE[#All], MATCH($B97,TARIFF_TABLE[[#All],[Activity]],0),MATCH("Cost",TARIFF_TABLE[#Headers],0)),INDEX(Staff_Costs[#All],MATCH('Per-Participant Activities Arm2'!D97,Staff_Costs[[#All],[Role]],0),MATCH("Per-minute cost",Staff_Costs[#Headers],0))*'Per-Participant Activities Arm2'!C97)</f>
        <v>#N/A</v>
      </c>
      <c r="AJ97" s="117" t="e">
        <f t="shared" si="7"/>
        <v>#N/A</v>
      </c>
      <c r="AK97" s="117" t="e">
        <f t="shared" si="8"/>
        <v>#N/A</v>
      </c>
      <c r="AL97" s="117" t="e">
        <f t="shared" si="11"/>
        <v>#N/A</v>
      </c>
      <c r="AM97" s="117" t="e">
        <f t="shared" si="9"/>
        <v>#N/A</v>
      </c>
      <c r="AN97" s="117" t="e">
        <f t="shared" si="10"/>
        <v>#N/A</v>
      </c>
      <c r="AO97" s="475" t="e">
        <f>INDEX('Tariff (hidden)'!$B$4:$B$133,MATCH(B97,'Tariff (hidden)'!$A$4:$A$133,0))</f>
        <v>#N/A</v>
      </c>
      <c r="DW97" s="6"/>
      <c r="DX97" s="6"/>
      <c r="DY97" s="6"/>
      <c r="DZ97" s="6"/>
      <c r="EA97" s="6"/>
      <c r="EB97" s="6"/>
      <c r="EC97" s="6"/>
      <c r="ED97" s="6"/>
    </row>
    <row r="98" spans="1:134" x14ac:dyDescent="0.25">
      <c r="A98" s="110"/>
      <c r="B98" s="111"/>
      <c r="C98" s="112"/>
      <c r="D98" s="111"/>
      <c r="E98" s="545"/>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5"/>
      <c r="AI98" s="116" t="e">
        <f>IF(INDEX(TARIFF_TABLE[#All], MATCH($B98,TARIFF_TABLE[[#All],[Activity]],0),MATCH("ActivityType",TARIFF_TABLE[#Headers]))="Investigation",INDEX(TARIFF_TABLE[#All], MATCH($B98,TARIFF_TABLE[[#All],[Activity]],0),MATCH("Cost",TARIFF_TABLE[#Headers],0)),INDEX(Staff_Costs[#All],MATCH('Per-Participant Activities Arm2'!D98,Staff_Costs[[#All],[Role]],0),MATCH("Per-minute cost",Staff_Costs[#Headers],0))*'Per-Participant Activities Arm2'!C98)</f>
        <v>#N/A</v>
      </c>
      <c r="AJ98" s="117" t="e">
        <f t="shared" si="7"/>
        <v>#N/A</v>
      </c>
      <c r="AK98" s="117" t="e">
        <f t="shared" si="8"/>
        <v>#N/A</v>
      </c>
      <c r="AL98" s="117" t="e">
        <f t="shared" si="11"/>
        <v>#N/A</v>
      </c>
      <c r="AM98" s="117" t="e">
        <f t="shared" si="9"/>
        <v>#N/A</v>
      </c>
      <c r="AN98" s="117" t="e">
        <f t="shared" si="10"/>
        <v>#N/A</v>
      </c>
      <c r="AO98" s="475" t="e">
        <f>INDEX('Tariff (hidden)'!$B$4:$B$133,MATCH(B98,'Tariff (hidden)'!$A$4:$A$133,0))</f>
        <v>#N/A</v>
      </c>
      <c r="DW98" s="6"/>
      <c r="DX98" s="6"/>
      <c r="DY98" s="6"/>
      <c r="DZ98" s="6"/>
      <c r="EA98" s="6"/>
      <c r="EB98" s="6"/>
      <c r="EC98" s="6"/>
      <c r="ED98" s="6"/>
    </row>
    <row r="99" spans="1:134" x14ac:dyDescent="0.25">
      <c r="A99" s="110"/>
      <c r="B99" s="111"/>
      <c r="C99" s="112"/>
      <c r="D99" s="111"/>
      <c r="E99" s="545"/>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5"/>
      <c r="AI99" s="116" t="e">
        <f>IF(INDEX(TARIFF_TABLE[#All], MATCH($B99,TARIFF_TABLE[[#All],[Activity]],0),MATCH("ActivityType",TARIFF_TABLE[#Headers]))="Investigation",INDEX(TARIFF_TABLE[#All], MATCH($B99,TARIFF_TABLE[[#All],[Activity]],0),MATCH("Cost",TARIFF_TABLE[#Headers],0)),INDEX(Staff_Costs[#All],MATCH('Per-Participant Activities Arm2'!D99,Staff_Costs[[#All],[Role]],0),MATCH("Per-minute cost",Staff_Costs[#Headers],0))*'Per-Participant Activities Arm2'!C99)</f>
        <v>#N/A</v>
      </c>
      <c r="AJ99" s="117" t="e">
        <f t="shared" si="7"/>
        <v>#N/A</v>
      </c>
      <c r="AK99" s="117" t="e">
        <f t="shared" si="8"/>
        <v>#N/A</v>
      </c>
      <c r="AL99" s="117" t="e">
        <f t="shared" si="11"/>
        <v>#N/A</v>
      </c>
      <c r="AM99" s="117" t="e">
        <f t="shared" si="9"/>
        <v>#N/A</v>
      </c>
      <c r="AN99" s="117" t="e">
        <f t="shared" si="10"/>
        <v>#N/A</v>
      </c>
      <c r="AO99" s="475" t="e">
        <f>INDEX('Tariff (hidden)'!$B$4:$B$133,MATCH(B99,'Tariff (hidden)'!$A$4:$A$133,0))</f>
        <v>#N/A</v>
      </c>
      <c r="DW99" s="6"/>
      <c r="DX99" s="6"/>
      <c r="DY99" s="6"/>
      <c r="DZ99" s="6"/>
      <c r="EA99" s="6"/>
      <c r="EB99" s="6"/>
      <c r="EC99" s="6"/>
      <c r="ED99" s="6"/>
    </row>
    <row r="100" spans="1:134" x14ac:dyDescent="0.25">
      <c r="A100" s="110"/>
      <c r="B100" s="111"/>
      <c r="C100" s="112"/>
      <c r="D100" s="111"/>
      <c r="E100" s="545"/>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5"/>
      <c r="AI100" s="116" t="e">
        <f>IF(INDEX(TARIFF_TABLE[#All], MATCH($B100,TARIFF_TABLE[[#All],[Activity]],0),MATCH("ActivityType",TARIFF_TABLE[#Headers]))="Investigation",INDEX(TARIFF_TABLE[#All], MATCH($B100,TARIFF_TABLE[[#All],[Activity]],0),MATCH("Cost",TARIFF_TABLE[#Headers],0)),INDEX(Staff_Costs[#All],MATCH('Per-Participant Activities Arm2'!D100,Staff_Costs[[#All],[Role]],0),MATCH("Per-minute cost",Staff_Costs[#Headers],0))*'Per-Participant Activities Arm2'!C100)</f>
        <v>#N/A</v>
      </c>
      <c r="AJ100" s="117" t="e">
        <f t="shared" si="7"/>
        <v>#N/A</v>
      </c>
      <c r="AK100" s="117" t="e">
        <f t="shared" si="8"/>
        <v>#N/A</v>
      </c>
      <c r="AL100" s="117" t="e">
        <f t="shared" si="11"/>
        <v>#N/A</v>
      </c>
      <c r="AM100" s="117" t="e">
        <f t="shared" si="9"/>
        <v>#N/A</v>
      </c>
      <c r="AN100" s="117" t="e">
        <f t="shared" si="10"/>
        <v>#N/A</v>
      </c>
      <c r="AO100" s="475" t="e">
        <f>INDEX('Tariff (hidden)'!$B$4:$B$133,MATCH(B100,'Tariff (hidden)'!$A$4:$A$133,0))</f>
        <v>#N/A</v>
      </c>
      <c r="DW100" s="6"/>
      <c r="DX100" s="6"/>
      <c r="DY100" s="6"/>
      <c r="DZ100" s="6"/>
      <c r="EA100" s="6"/>
      <c r="EB100" s="6"/>
      <c r="EC100" s="6"/>
      <c r="ED100" s="6"/>
    </row>
    <row r="101" spans="1:134" x14ac:dyDescent="0.25">
      <c r="A101" s="110"/>
      <c r="B101" s="111"/>
      <c r="C101" s="112"/>
      <c r="D101" s="111"/>
      <c r="E101" s="545"/>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5"/>
      <c r="AI101" s="116" t="e">
        <f>IF(INDEX(TARIFF_TABLE[#All], MATCH($B101,TARIFF_TABLE[[#All],[Activity]],0),MATCH("ActivityType",TARIFF_TABLE[#Headers]))="Investigation",INDEX(TARIFF_TABLE[#All], MATCH($B101,TARIFF_TABLE[[#All],[Activity]],0),MATCH("Cost",TARIFF_TABLE[#Headers],0)),INDEX(Staff_Costs[#All],MATCH('Per-Participant Activities Arm2'!D101,Staff_Costs[[#All],[Role]],0),MATCH("Per-minute cost",Staff_Costs[#Headers],0))*'Per-Participant Activities Arm2'!C101)</f>
        <v>#N/A</v>
      </c>
      <c r="AJ101" s="117" t="e">
        <f t="shared" si="7"/>
        <v>#N/A</v>
      </c>
      <c r="AK101" s="117" t="e">
        <f t="shared" si="8"/>
        <v>#N/A</v>
      </c>
      <c r="AL101" s="117" t="e">
        <f t="shared" si="11"/>
        <v>#N/A</v>
      </c>
      <c r="AM101" s="117" t="e">
        <f t="shared" si="9"/>
        <v>#N/A</v>
      </c>
      <c r="AN101" s="117" t="e">
        <f t="shared" si="10"/>
        <v>#N/A</v>
      </c>
      <c r="AO101" s="475" t="e">
        <f>INDEX('Tariff (hidden)'!$B$4:$B$133,MATCH(B101,'Tariff (hidden)'!$A$4:$A$133,0))</f>
        <v>#N/A</v>
      </c>
      <c r="DW101" s="6"/>
      <c r="DX101" s="6"/>
      <c r="DY101" s="6"/>
      <c r="DZ101" s="6"/>
      <c r="EA101" s="6"/>
      <c r="EB101" s="6"/>
      <c r="EC101" s="6"/>
      <c r="ED101" s="6"/>
    </row>
    <row r="102" spans="1:134" x14ac:dyDescent="0.25">
      <c r="A102" s="110"/>
      <c r="B102" s="111"/>
      <c r="C102" s="112"/>
      <c r="D102" s="111"/>
      <c r="E102" s="545"/>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5"/>
      <c r="AI102" s="116" t="e">
        <f>IF(INDEX(TARIFF_TABLE[#All], MATCH($B102,TARIFF_TABLE[[#All],[Activity]],0),MATCH("ActivityType",TARIFF_TABLE[#Headers]))="Investigation",INDEX(TARIFF_TABLE[#All], MATCH($B102,TARIFF_TABLE[[#All],[Activity]],0),MATCH("Cost",TARIFF_TABLE[#Headers],0)),INDEX(Staff_Costs[#All],MATCH('Per-Participant Activities Arm2'!D102,Staff_Costs[[#All],[Role]],0),MATCH("Per-minute cost",Staff_Costs[#Headers],0))*'Per-Participant Activities Arm2'!C102)</f>
        <v>#N/A</v>
      </c>
      <c r="AJ102" s="117" t="e">
        <f t="shared" si="7"/>
        <v>#N/A</v>
      </c>
      <c r="AK102" s="117" t="e">
        <f t="shared" si="8"/>
        <v>#N/A</v>
      </c>
      <c r="AL102" s="117" t="e">
        <f t="shared" si="11"/>
        <v>#N/A</v>
      </c>
      <c r="AM102" s="117" t="e">
        <f t="shared" si="9"/>
        <v>#N/A</v>
      </c>
      <c r="AN102" s="117" t="e">
        <f t="shared" si="10"/>
        <v>#N/A</v>
      </c>
      <c r="AO102" s="475" t="e">
        <f>INDEX('Tariff (hidden)'!$B$4:$B$133,MATCH(B102,'Tariff (hidden)'!$A$4:$A$133,0))</f>
        <v>#N/A</v>
      </c>
      <c r="DW102" s="6"/>
      <c r="DX102" s="6"/>
      <c r="DY102" s="6"/>
      <c r="DZ102" s="6"/>
      <c r="EA102" s="6"/>
      <c r="EB102" s="6"/>
      <c r="EC102" s="6"/>
      <c r="ED102" s="6"/>
    </row>
    <row r="103" spans="1:134" x14ac:dyDescent="0.25">
      <c r="A103" s="110"/>
      <c r="B103" s="111"/>
      <c r="C103" s="112"/>
      <c r="D103" s="111"/>
      <c r="E103" s="545"/>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5"/>
      <c r="AI103" s="116" t="e">
        <f>IF(INDEX(TARIFF_TABLE[#All], MATCH($B103,TARIFF_TABLE[[#All],[Activity]],0),MATCH("ActivityType",TARIFF_TABLE[#Headers]))="Investigation",INDEX(TARIFF_TABLE[#All], MATCH($B103,TARIFF_TABLE[[#All],[Activity]],0),MATCH("Cost",TARIFF_TABLE[#Headers],0)),INDEX(Staff_Costs[#All],MATCH('Per-Participant Activities Arm2'!D103,Staff_Costs[[#All],[Role]],0),MATCH("Per-minute cost",Staff_Costs[#Headers],0))*'Per-Participant Activities Arm2'!C103)</f>
        <v>#N/A</v>
      </c>
      <c r="AJ103" s="117" t="e">
        <f t="shared" si="7"/>
        <v>#N/A</v>
      </c>
      <c r="AK103" s="117" t="e">
        <f t="shared" si="8"/>
        <v>#N/A</v>
      </c>
      <c r="AL103" s="117" t="e">
        <f t="shared" si="11"/>
        <v>#N/A</v>
      </c>
      <c r="AM103" s="117" t="e">
        <f t="shared" si="9"/>
        <v>#N/A</v>
      </c>
      <c r="AN103" s="117" t="e">
        <f t="shared" si="10"/>
        <v>#N/A</v>
      </c>
      <c r="AO103" s="475" t="e">
        <f>INDEX('Tariff (hidden)'!$B$4:$B$133,MATCH(B103,'Tariff (hidden)'!$A$4:$A$133,0))</f>
        <v>#N/A</v>
      </c>
      <c r="DW103" s="6"/>
      <c r="DX103" s="6"/>
      <c r="DY103" s="6"/>
      <c r="DZ103" s="6"/>
      <c r="EA103" s="6"/>
      <c r="EB103" s="6"/>
      <c r="EC103" s="6"/>
      <c r="ED103" s="6"/>
    </row>
    <row r="104" spans="1:134" x14ac:dyDescent="0.25">
      <c r="A104" s="110"/>
      <c r="B104" s="111"/>
      <c r="C104" s="112"/>
      <c r="D104" s="111"/>
      <c r="E104" s="545"/>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5"/>
      <c r="AI104" s="116" t="e">
        <f>IF(INDEX(TARIFF_TABLE[#All], MATCH($B104,TARIFF_TABLE[[#All],[Activity]],0),MATCH("ActivityType",TARIFF_TABLE[#Headers]))="Investigation",INDEX(TARIFF_TABLE[#All], MATCH($B104,TARIFF_TABLE[[#All],[Activity]],0),MATCH("Cost",TARIFF_TABLE[#Headers],0)),INDEX(Staff_Costs[#All],MATCH('Per-Participant Activities Arm2'!D104,Staff_Costs[[#All],[Role]],0),MATCH("Per-minute cost",Staff_Costs[#Headers],0))*'Per-Participant Activities Arm2'!C104)</f>
        <v>#N/A</v>
      </c>
      <c r="AJ104" s="117" t="e">
        <f t="shared" si="7"/>
        <v>#N/A</v>
      </c>
      <c r="AK104" s="117" t="e">
        <f t="shared" si="8"/>
        <v>#N/A</v>
      </c>
      <c r="AL104" s="117" t="e">
        <f t="shared" si="11"/>
        <v>#N/A</v>
      </c>
      <c r="AM104" s="117" t="e">
        <f t="shared" si="9"/>
        <v>#N/A</v>
      </c>
      <c r="AN104" s="117" t="e">
        <f t="shared" si="10"/>
        <v>#N/A</v>
      </c>
      <c r="AO104" s="475" t="e">
        <f>INDEX('Tariff (hidden)'!$B$4:$B$133,MATCH(B104,'Tariff (hidden)'!$A$4:$A$133,0))</f>
        <v>#N/A</v>
      </c>
      <c r="DW104" s="6"/>
      <c r="DX104" s="6"/>
      <c r="DY104" s="6"/>
      <c r="DZ104" s="6"/>
      <c r="EA104" s="6"/>
      <c r="EB104" s="6"/>
      <c r="EC104" s="6"/>
      <c r="ED104" s="6"/>
    </row>
    <row r="105" spans="1:134" x14ac:dyDescent="0.25">
      <c r="A105" s="110"/>
      <c r="B105" s="111"/>
      <c r="C105" s="112"/>
      <c r="D105" s="111"/>
      <c r="E105" s="545"/>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5"/>
      <c r="AI105" s="116" t="e">
        <f>IF(INDEX(TARIFF_TABLE[#All], MATCH($B105,TARIFF_TABLE[[#All],[Activity]],0),MATCH("ActivityType",TARIFF_TABLE[#Headers]))="Investigation",INDEX(TARIFF_TABLE[#All], MATCH($B105,TARIFF_TABLE[[#All],[Activity]],0),MATCH("Cost",TARIFF_TABLE[#Headers],0)),INDEX(Staff_Costs[#All],MATCH('Per-Participant Activities Arm2'!D105,Staff_Costs[[#All],[Role]],0),MATCH("Per-minute cost",Staff_Costs[#Headers],0))*'Per-Participant Activities Arm2'!C105)</f>
        <v>#N/A</v>
      </c>
      <c r="AJ105" s="117" t="e">
        <f t="shared" si="7"/>
        <v>#N/A</v>
      </c>
      <c r="AK105" s="117" t="e">
        <f t="shared" si="8"/>
        <v>#N/A</v>
      </c>
      <c r="AL105" s="117" t="e">
        <f t="shared" si="11"/>
        <v>#N/A</v>
      </c>
      <c r="AM105" s="117" t="e">
        <f t="shared" si="9"/>
        <v>#N/A</v>
      </c>
      <c r="AN105" s="117" t="e">
        <f t="shared" si="10"/>
        <v>#N/A</v>
      </c>
      <c r="AO105" s="475" t="e">
        <f>INDEX('Tariff (hidden)'!$B$4:$B$133,MATCH(B105,'Tariff (hidden)'!$A$4:$A$133,0))</f>
        <v>#N/A</v>
      </c>
      <c r="DW105" s="6"/>
      <c r="DX105" s="6"/>
      <c r="DY105" s="6"/>
      <c r="DZ105" s="6"/>
      <c r="EA105" s="6"/>
      <c r="EB105" s="6"/>
      <c r="EC105" s="6"/>
      <c r="ED105" s="6"/>
    </row>
    <row r="106" spans="1:134" x14ac:dyDescent="0.25">
      <c r="A106" s="110"/>
      <c r="B106" s="111"/>
      <c r="C106" s="112"/>
      <c r="D106" s="111"/>
      <c r="E106" s="545"/>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5"/>
      <c r="AI106" s="116" t="e">
        <f>IF(INDEX(TARIFF_TABLE[#All], MATCH($B106,TARIFF_TABLE[[#All],[Activity]],0),MATCH("ActivityType",TARIFF_TABLE[#Headers]))="Investigation",INDEX(TARIFF_TABLE[#All], MATCH($B106,TARIFF_TABLE[[#All],[Activity]],0),MATCH("Cost",TARIFF_TABLE[#Headers],0)),INDEX(Staff_Costs[#All],MATCH('Per-Participant Activities Arm2'!D106,Staff_Costs[[#All],[Role]],0),MATCH("Per-minute cost",Staff_Costs[#Headers],0))*'Per-Participant Activities Arm2'!C106)</f>
        <v>#N/A</v>
      </c>
      <c r="AJ106" s="117" t="e">
        <f t="shared" si="7"/>
        <v>#N/A</v>
      </c>
      <c r="AK106" s="117" t="e">
        <f t="shared" si="8"/>
        <v>#N/A</v>
      </c>
      <c r="AL106" s="117" t="e">
        <f t="shared" si="11"/>
        <v>#N/A</v>
      </c>
      <c r="AM106" s="117" t="e">
        <f t="shared" si="9"/>
        <v>#N/A</v>
      </c>
      <c r="AN106" s="117" t="e">
        <f t="shared" si="10"/>
        <v>#N/A</v>
      </c>
      <c r="AO106" s="475" t="e">
        <f>INDEX('Tariff (hidden)'!$B$4:$B$133,MATCH(B106,'Tariff (hidden)'!$A$4:$A$133,0))</f>
        <v>#N/A</v>
      </c>
      <c r="DW106" s="6"/>
      <c r="DX106" s="6"/>
      <c r="DY106" s="6"/>
      <c r="DZ106" s="6"/>
      <c r="EA106" s="6"/>
      <c r="EB106" s="6"/>
      <c r="EC106" s="6"/>
      <c r="ED106" s="6"/>
    </row>
    <row r="107" spans="1:134" x14ac:dyDescent="0.25">
      <c r="A107" s="110"/>
      <c r="B107" s="111"/>
      <c r="C107" s="112"/>
      <c r="D107" s="111"/>
      <c r="E107" s="545"/>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5"/>
      <c r="AI107" s="116" t="e">
        <f>IF(INDEX(TARIFF_TABLE[#All], MATCH($B107,TARIFF_TABLE[[#All],[Activity]],0),MATCH("ActivityType",TARIFF_TABLE[#Headers]))="Investigation",INDEX(TARIFF_TABLE[#All], MATCH($B107,TARIFF_TABLE[[#All],[Activity]],0),MATCH("Cost",TARIFF_TABLE[#Headers],0)),INDEX(Staff_Costs[#All],MATCH('Per-Participant Activities Arm2'!D107,Staff_Costs[[#All],[Role]],0),MATCH("Per-minute cost",Staff_Costs[#Headers],0))*'Per-Participant Activities Arm2'!C107)</f>
        <v>#N/A</v>
      </c>
      <c r="AJ107" s="117" t="e">
        <f t="shared" si="7"/>
        <v>#N/A</v>
      </c>
      <c r="AK107" s="117" t="e">
        <f t="shared" si="8"/>
        <v>#N/A</v>
      </c>
      <c r="AL107" s="117" t="e">
        <f t="shared" si="11"/>
        <v>#N/A</v>
      </c>
      <c r="AM107" s="117" t="e">
        <f t="shared" si="9"/>
        <v>#N/A</v>
      </c>
      <c r="AN107" s="117" t="e">
        <f t="shared" si="10"/>
        <v>#N/A</v>
      </c>
      <c r="AO107" s="475" t="e">
        <f>INDEX('Tariff (hidden)'!$B$4:$B$133,MATCH(B107,'Tariff (hidden)'!$A$4:$A$133,0))</f>
        <v>#N/A</v>
      </c>
      <c r="DW107" s="6"/>
      <c r="DX107" s="6"/>
      <c r="DY107" s="6"/>
      <c r="DZ107" s="6"/>
      <c r="EA107" s="6"/>
      <c r="EB107" s="6"/>
      <c r="EC107" s="6"/>
      <c r="ED107" s="6"/>
    </row>
    <row r="108" spans="1:134" x14ac:dyDescent="0.25">
      <c r="A108" s="110"/>
      <c r="B108" s="111"/>
      <c r="C108" s="112"/>
      <c r="D108" s="111"/>
      <c r="E108" s="545"/>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5"/>
      <c r="AI108" s="116" t="e">
        <f>IF(INDEX(TARIFF_TABLE[#All], MATCH($B108,TARIFF_TABLE[[#All],[Activity]],0),MATCH("ActivityType",TARIFF_TABLE[#Headers]))="Investigation",INDEX(TARIFF_TABLE[#All], MATCH($B108,TARIFF_TABLE[[#All],[Activity]],0),MATCH("Cost",TARIFF_TABLE[#Headers],0)),INDEX(Staff_Costs[#All],MATCH('Per-Participant Activities Arm2'!D108,Staff_Costs[[#All],[Role]],0),MATCH("Per-minute cost",Staff_Costs[#Headers],0))*'Per-Participant Activities Arm2'!C108)</f>
        <v>#N/A</v>
      </c>
      <c r="AJ108" s="117" t="e">
        <f t="shared" si="7"/>
        <v>#N/A</v>
      </c>
      <c r="AK108" s="117" t="e">
        <f t="shared" si="8"/>
        <v>#N/A</v>
      </c>
      <c r="AL108" s="117" t="e">
        <f t="shared" si="11"/>
        <v>#N/A</v>
      </c>
      <c r="AM108" s="117" t="e">
        <f t="shared" si="9"/>
        <v>#N/A</v>
      </c>
      <c r="AN108" s="117" t="e">
        <f t="shared" si="10"/>
        <v>#N/A</v>
      </c>
      <c r="AO108" s="475" t="e">
        <f>INDEX('Tariff (hidden)'!$B$4:$B$133,MATCH(B108,'Tariff (hidden)'!$A$4:$A$133,0))</f>
        <v>#N/A</v>
      </c>
      <c r="DW108" s="6"/>
      <c r="DX108" s="6"/>
      <c r="DY108" s="6"/>
      <c r="DZ108" s="6"/>
      <c r="EA108" s="6"/>
      <c r="EB108" s="6"/>
      <c r="EC108" s="6"/>
      <c r="ED108" s="6"/>
    </row>
    <row r="109" spans="1:134" x14ac:dyDescent="0.25">
      <c r="A109" s="110"/>
      <c r="B109" s="111"/>
      <c r="C109" s="112"/>
      <c r="D109" s="111"/>
      <c r="E109" s="545"/>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5"/>
      <c r="AI109" s="116" t="e">
        <f>IF(INDEX(TARIFF_TABLE[#All], MATCH($B109,TARIFF_TABLE[[#All],[Activity]],0),MATCH("ActivityType",TARIFF_TABLE[#Headers]))="Investigation",INDEX(TARIFF_TABLE[#All], MATCH($B109,TARIFF_TABLE[[#All],[Activity]],0),MATCH("Cost",TARIFF_TABLE[#Headers],0)),INDEX(Staff_Costs[#All],MATCH('Per-Participant Activities Arm2'!D109,Staff_Costs[[#All],[Role]],0),MATCH("Per-minute cost",Staff_Costs[#Headers],0))*'Per-Participant Activities Arm2'!C109)</f>
        <v>#N/A</v>
      </c>
      <c r="AJ109" s="117" t="e">
        <f t="shared" si="7"/>
        <v>#N/A</v>
      </c>
      <c r="AK109" s="117" t="e">
        <f t="shared" si="8"/>
        <v>#N/A</v>
      </c>
      <c r="AL109" s="117" t="e">
        <f t="shared" si="11"/>
        <v>#N/A</v>
      </c>
      <c r="AM109" s="117" t="e">
        <f t="shared" si="9"/>
        <v>#N/A</v>
      </c>
      <c r="AN109" s="117" t="e">
        <f t="shared" si="10"/>
        <v>#N/A</v>
      </c>
      <c r="AO109" s="475" t="e">
        <f>INDEX('Tariff (hidden)'!$B$4:$B$133,MATCH(B109,'Tariff (hidden)'!$A$4:$A$133,0))</f>
        <v>#N/A</v>
      </c>
      <c r="DW109" s="6"/>
      <c r="DX109" s="6"/>
      <c r="DY109" s="6"/>
      <c r="DZ109" s="6"/>
      <c r="EA109" s="6"/>
      <c r="EB109" s="6"/>
      <c r="EC109" s="6"/>
      <c r="ED109" s="6"/>
    </row>
    <row r="110" spans="1:134" x14ac:dyDescent="0.25">
      <c r="A110" s="110"/>
      <c r="B110" s="111"/>
      <c r="C110" s="112"/>
      <c r="D110" s="111"/>
      <c r="E110" s="545"/>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5"/>
      <c r="AI110" s="116" t="e">
        <f>IF(INDEX(TARIFF_TABLE[#All], MATCH($B110,TARIFF_TABLE[[#All],[Activity]],0),MATCH("ActivityType",TARIFF_TABLE[#Headers]))="Investigation",INDEX(TARIFF_TABLE[#All], MATCH($B110,TARIFF_TABLE[[#All],[Activity]],0),MATCH("Cost",TARIFF_TABLE[#Headers],0)),INDEX(Staff_Costs[#All],MATCH('Per-Participant Activities Arm2'!D110,Staff_Costs[[#All],[Role]],0),MATCH("Per-minute cost",Staff_Costs[#Headers],0))*'Per-Participant Activities Arm2'!C110)</f>
        <v>#N/A</v>
      </c>
      <c r="AJ110" s="117" t="e">
        <f t="shared" si="7"/>
        <v>#N/A</v>
      </c>
      <c r="AK110" s="117" t="e">
        <f t="shared" si="8"/>
        <v>#N/A</v>
      </c>
      <c r="AL110" s="117" t="e">
        <f t="shared" si="11"/>
        <v>#N/A</v>
      </c>
      <c r="AM110" s="117" t="e">
        <f t="shared" si="9"/>
        <v>#N/A</v>
      </c>
      <c r="AN110" s="117" t="e">
        <f t="shared" si="10"/>
        <v>#N/A</v>
      </c>
      <c r="AO110" s="478" t="e">
        <f>INDEX('Tariff (hidden)'!$B$4:$B$133,MATCH(B110,'Tariff (hidden)'!$A$4:$A$133,0))</f>
        <v>#N/A</v>
      </c>
      <c r="DW110" s="6"/>
      <c r="DX110" s="6"/>
      <c r="DY110" s="6"/>
      <c r="DZ110" s="6"/>
      <c r="EA110" s="6"/>
      <c r="EB110" s="6"/>
      <c r="EC110" s="6"/>
      <c r="ED110" s="6"/>
    </row>
    <row r="111" spans="1:134" x14ac:dyDescent="0.25">
      <c r="A111" s="6"/>
      <c r="B111" s="6"/>
      <c r="C111" s="6"/>
      <c r="D111" s="7"/>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DW111" s="6"/>
      <c r="DX111" s="6"/>
      <c r="DY111" s="6"/>
      <c r="DZ111" s="6"/>
      <c r="EA111" s="6"/>
      <c r="EB111" s="6"/>
      <c r="EC111" s="6"/>
      <c r="ED111" s="6"/>
    </row>
    <row r="112" spans="1:134" x14ac:dyDescent="0.25">
      <c r="A112" s="6"/>
      <c r="B112" s="6"/>
      <c r="C112" s="6"/>
      <c r="D112" s="7"/>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DW112" s="6"/>
      <c r="DX112" s="6"/>
      <c r="DY112" s="6"/>
      <c r="DZ112" s="6"/>
      <c r="EA112" s="6"/>
      <c r="EB112" s="6"/>
      <c r="EC112" s="6"/>
      <c r="ED112" s="6"/>
    </row>
    <row r="113" spans="1:134" x14ac:dyDescent="0.25">
      <c r="A113" s="6"/>
      <c r="B113" s="6"/>
      <c r="C113" s="6"/>
      <c r="D113" s="7"/>
      <c r="E113" s="7"/>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DW113" s="6"/>
      <c r="DX113" s="6"/>
      <c r="DY113" s="6"/>
      <c r="DZ113" s="6"/>
      <c r="EA113" s="6"/>
      <c r="EB113" s="6"/>
      <c r="EC113" s="6"/>
      <c r="ED113" s="6"/>
    </row>
    <row r="114" spans="1:134" x14ac:dyDescent="0.25">
      <c r="A114" s="6"/>
      <c r="B114" s="6"/>
      <c r="C114" s="6"/>
      <c r="D114" s="7"/>
      <c r="E114" s="7"/>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DW114" s="6"/>
      <c r="DX114" s="6"/>
      <c r="DY114" s="6"/>
      <c r="DZ114" s="6"/>
      <c r="EA114" s="6"/>
      <c r="EB114" s="6"/>
      <c r="EC114" s="6"/>
      <c r="ED114" s="6"/>
    </row>
    <row r="115" spans="1:134" x14ac:dyDescent="0.25">
      <c r="A115" s="6"/>
      <c r="B115" s="6"/>
      <c r="C115" s="6"/>
      <c r="D115" s="7"/>
      <c r="E115" s="7"/>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DW115" s="6"/>
      <c r="DX115" s="6"/>
      <c r="DY115" s="6"/>
      <c r="DZ115" s="6"/>
      <c r="EA115" s="6"/>
      <c r="EB115" s="6"/>
      <c r="EC115" s="6"/>
      <c r="ED115" s="6"/>
    </row>
    <row r="116" spans="1:134" x14ac:dyDescent="0.25">
      <c r="A116" s="6"/>
      <c r="B116" s="6"/>
      <c r="C116" s="6"/>
      <c r="D116" s="7"/>
      <c r="E116" s="7"/>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DW116" s="6"/>
      <c r="DX116" s="6"/>
      <c r="DY116" s="6"/>
      <c r="DZ116" s="6"/>
      <c r="EA116" s="6"/>
      <c r="EB116" s="6"/>
      <c r="EC116" s="6"/>
      <c r="ED116" s="6"/>
    </row>
    <row r="117" spans="1:134" x14ac:dyDescent="0.25">
      <c r="A117" s="6"/>
      <c r="B117" s="6"/>
      <c r="C117" s="6"/>
      <c r="D117" s="7"/>
      <c r="E117" s="7"/>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DW117" s="6"/>
      <c r="DX117" s="6"/>
      <c r="DY117" s="6"/>
      <c r="DZ117" s="6"/>
      <c r="EA117" s="6"/>
      <c r="EB117" s="6"/>
      <c r="EC117" s="6"/>
      <c r="ED117" s="6"/>
    </row>
    <row r="118" spans="1:134" x14ac:dyDescent="0.25">
      <c r="A118" s="6"/>
      <c r="B118" s="6"/>
      <c r="C118" s="6"/>
      <c r="D118" s="7"/>
      <c r="E118" s="7"/>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DW118" s="6"/>
      <c r="DX118" s="6"/>
      <c r="DY118" s="6"/>
      <c r="DZ118" s="6"/>
      <c r="EA118" s="6"/>
      <c r="EB118" s="6"/>
      <c r="EC118" s="6"/>
      <c r="ED118" s="6"/>
    </row>
    <row r="119" spans="1:134" x14ac:dyDescent="0.25">
      <c r="A119" s="6"/>
      <c r="B119" s="6"/>
      <c r="C119" s="6"/>
      <c r="D119" s="7"/>
      <c r="E119" s="7"/>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DW119" s="6"/>
      <c r="DX119" s="6"/>
      <c r="DY119" s="6"/>
      <c r="DZ119" s="6"/>
      <c r="EA119" s="6"/>
      <c r="EB119" s="6"/>
      <c r="EC119" s="6"/>
      <c r="ED119" s="6"/>
    </row>
    <row r="120" spans="1:134" x14ac:dyDescent="0.25">
      <c r="A120" s="6"/>
      <c r="B120" s="6"/>
      <c r="C120" s="6"/>
      <c r="D120" s="7"/>
      <c r="E120" s="7"/>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DW120" s="6"/>
      <c r="DX120" s="6"/>
      <c r="DY120" s="6"/>
      <c r="DZ120" s="6"/>
      <c r="EA120" s="6"/>
      <c r="EB120" s="6"/>
      <c r="EC120" s="6"/>
      <c r="ED120" s="6"/>
    </row>
    <row r="121" spans="1:134" x14ac:dyDescent="0.25">
      <c r="A121" s="6"/>
      <c r="B121" s="6"/>
      <c r="C121" s="6"/>
      <c r="D121" s="7"/>
      <c r="E121" s="7"/>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DW121" s="6"/>
      <c r="DX121" s="6"/>
      <c r="DY121" s="6"/>
      <c r="DZ121" s="6"/>
      <c r="EA121" s="6"/>
      <c r="EB121" s="6"/>
      <c r="EC121" s="6"/>
      <c r="ED121" s="6"/>
    </row>
    <row r="122" spans="1:134" x14ac:dyDescent="0.25">
      <c r="A122" s="6"/>
      <c r="B122" s="6"/>
      <c r="C122" s="6"/>
      <c r="D122" s="7"/>
      <c r="E122" s="7"/>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DW122" s="6"/>
      <c r="DX122" s="6"/>
      <c r="DY122" s="6"/>
      <c r="DZ122" s="6"/>
      <c r="EA122" s="6"/>
      <c r="EB122" s="6"/>
      <c r="EC122" s="6"/>
      <c r="ED122" s="6"/>
    </row>
    <row r="123" spans="1:134" x14ac:dyDescent="0.25">
      <c r="A123" s="6"/>
      <c r="B123" s="6"/>
      <c r="C123" s="6"/>
      <c r="D123" s="7"/>
      <c r="E123" s="7"/>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DW123" s="6"/>
      <c r="DX123" s="6"/>
      <c r="DY123" s="6"/>
      <c r="DZ123" s="6"/>
      <c r="EA123" s="6"/>
      <c r="EB123" s="6"/>
      <c r="EC123" s="6"/>
      <c r="ED123" s="6"/>
    </row>
    <row r="124" spans="1:134" x14ac:dyDescent="0.25">
      <c r="A124" s="6"/>
      <c r="B124" s="6"/>
      <c r="C124" s="6"/>
      <c r="D124" s="7"/>
      <c r="E124" s="7"/>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DW124" s="6"/>
      <c r="DX124" s="6"/>
      <c r="DY124" s="6"/>
      <c r="DZ124" s="6"/>
      <c r="EA124" s="6"/>
      <c r="EB124" s="6"/>
      <c r="EC124" s="6"/>
      <c r="ED124" s="6"/>
    </row>
    <row r="125" spans="1:134" x14ac:dyDescent="0.25">
      <c r="A125" s="6"/>
      <c r="B125" s="6"/>
      <c r="C125" s="6"/>
      <c r="D125" s="7"/>
      <c r="E125" s="7"/>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DW125" s="6"/>
      <c r="DX125" s="6"/>
      <c r="DY125" s="6"/>
      <c r="DZ125" s="6"/>
      <c r="EA125" s="6"/>
      <c r="EB125" s="6"/>
      <c r="EC125" s="6"/>
      <c r="ED125" s="6"/>
    </row>
    <row r="126" spans="1:134" x14ac:dyDescent="0.25">
      <c r="A126" s="6"/>
      <c r="B126" s="6"/>
      <c r="C126" s="6"/>
      <c r="D126" s="7"/>
      <c r="E126" s="7"/>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DW126" s="6"/>
      <c r="DX126" s="6"/>
      <c r="DY126" s="6"/>
      <c r="DZ126" s="6"/>
      <c r="EA126" s="6"/>
      <c r="EB126" s="6"/>
      <c r="EC126" s="6"/>
      <c r="ED126" s="6"/>
    </row>
    <row r="127" spans="1:134" x14ac:dyDescent="0.25">
      <c r="A127" s="6"/>
      <c r="B127" s="6"/>
      <c r="C127" s="6"/>
      <c r="D127" s="7"/>
      <c r="E127" s="7"/>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DW127" s="6"/>
      <c r="DX127" s="6"/>
      <c r="DY127" s="6"/>
      <c r="DZ127" s="6"/>
      <c r="EA127" s="6"/>
      <c r="EB127" s="6"/>
      <c r="EC127" s="6"/>
      <c r="ED127" s="6"/>
    </row>
    <row r="128" spans="1:134" x14ac:dyDescent="0.25">
      <c r="A128" s="6"/>
      <c r="B128" s="6"/>
      <c r="C128" s="6"/>
      <c r="D128" s="7"/>
      <c r="E128" s="7"/>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DW128" s="6"/>
      <c r="DX128" s="6"/>
      <c r="DY128" s="6"/>
      <c r="DZ128" s="6"/>
      <c r="EA128" s="6"/>
      <c r="EB128" s="6"/>
      <c r="EC128" s="6"/>
      <c r="ED128" s="6"/>
    </row>
    <row r="129" spans="1:134" x14ac:dyDescent="0.25">
      <c r="A129" s="6"/>
      <c r="B129" s="6"/>
      <c r="C129" s="6"/>
      <c r="D129" s="7"/>
      <c r="E129" s="7"/>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DW129" s="6"/>
      <c r="DX129" s="6"/>
      <c r="DY129" s="6"/>
      <c r="DZ129" s="6"/>
      <c r="EA129" s="6"/>
      <c r="EB129" s="6"/>
      <c r="EC129" s="6"/>
      <c r="ED129" s="6"/>
    </row>
    <row r="130" spans="1:134" x14ac:dyDescent="0.25">
      <c r="A130" s="6"/>
      <c r="B130" s="6"/>
      <c r="C130" s="6"/>
      <c r="D130" s="7"/>
      <c r="E130" s="7"/>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DW130" s="6"/>
      <c r="DX130" s="6"/>
      <c r="DY130" s="6"/>
      <c r="DZ130" s="6"/>
      <c r="EA130" s="6"/>
      <c r="EB130" s="6"/>
      <c r="EC130" s="6"/>
      <c r="ED130" s="6"/>
    </row>
    <row r="131" spans="1:134" x14ac:dyDescent="0.25">
      <c r="A131" s="6"/>
      <c r="B131" s="6"/>
      <c r="C131" s="6"/>
      <c r="D131" s="7"/>
      <c r="E131" s="7"/>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DW131" s="6"/>
      <c r="DX131" s="6"/>
      <c r="DY131" s="6"/>
      <c r="DZ131" s="6"/>
      <c r="EA131" s="6"/>
      <c r="EB131" s="6"/>
      <c r="EC131" s="6"/>
      <c r="ED131" s="6"/>
    </row>
    <row r="132" spans="1:134" x14ac:dyDescent="0.25">
      <c r="A132" s="6"/>
      <c r="B132" s="6"/>
      <c r="C132" s="6"/>
      <c r="D132" s="7"/>
      <c r="E132" s="7"/>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DW132" s="6"/>
      <c r="DX132" s="6"/>
      <c r="DY132" s="6"/>
      <c r="DZ132" s="6"/>
      <c r="EA132" s="6"/>
      <c r="EB132" s="6"/>
      <c r="EC132" s="6"/>
      <c r="ED132" s="6"/>
    </row>
    <row r="133" spans="1:134" x14ac:dyDescent="0.25">
      <c r="A133" s="6"/>
      <c r="B133" s="6"/>
      <c r="C133" s="6"/>
      <c r="D133" s="7"/>
      <c r="E133" s="7"/>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DW133" s="6"/>
      <c r="DX133" s="6"/>
      <c r="DY133" s="6"/>
      <c r="DZ133" s="6"/>
      <c r="EA133" s="6"/>
      <c r="EB133" s="6"/>
      <c r="EC133" s="6"/>
      <c r="ED133" s="6"/>
    </row>
    <row r="134" spans="1:134" x14ac:dyDescent="0.25">
      <c r="A134" s="6"/>
      <c r="B134" s="6"/>
      <c r="C134" s="6"/>
      <c r="D134" s="7"/>
      <c r="E134" s="7"/>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DW134" s="6"/>
      <c r="DX134" s="6"/>
      <c r="DY134" s="6"/>
      <c r="DZ134" s="6"/>
      <c r="EA134" s="6"/>
      <c r="EB134" s="6"/>
      <c r="EC134" s="6"/>
      <c r="ED134" s="6"/>
    </row>
    <row r="135" spans="1:134" x14ac:dyDescent="0.25">
      <c r="A135" s="6"/>
      <c r="B135" s="6"/>
      <c r="C135" s="6"/>
      <c r="D135" s="7"/>
      <c r="E135" s="7"/>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DW135" s="6"/>
      <c r="DX135" s="6"/>
      <c r="DY135" s="6"/>
      <c r="DZ135" s="6"/>
      <c r="EA135" s="6"/>
      <c r="EB135" s="6"/>
      <c r="EC135" s="6"/>
      <c r="ED135" s="6"/>
    </row>
    <row r="136" spans="1:134" x14ac:dyDescent="0.25">
      <c r="A136" s="6"/>
      <c r="B136" s="6"/>
      <c r="C136" s="6"/>
      <c r="D136" s="7"/>
      <c r="E136" s="7"/>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DW136" s="6"/>
      <c r="DX136" s="6"/>
      <c r="DY136" s="6"/>
      <c r="DZ136" s="6"/>
      <c r="EA136" s="6"/>
      <c r="EB136" s="6"/>
      <c r="EC136" s="6"/>
      <c r="ED136" s="6"/>
    </row>
    <row r="137" spans="1:134" x14ac:dyDescent="0.25">
      <c r="A137" s="6"/>
      <c r="B137" s="6"/>
      <c r="C137" s="6"/>
      <c r="D137" s="7"/>
      <c r="E137" s="7"/>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DW137" s="6"/>
      <c r="DX137" s="6"/>
      <c r="DY137" s="6"/>
      <c r="DZ137" s="6"/>
      <c r="EA137" s="6"/>
      <c r="EB137" s="6"/>
      <c r="EC137" s="6"/>
      <c r="ED137" s="6"/>
    </row>
    <row r="138" spans="1:134" x14ac:dyDescent="0.25">
      <c r="A138" s="6"/>
      <c r="B138" s="6"/>
      <c r="C138" s="6"/>
      <c r="D138" s="7"/>
      <c r="E138" s="7"/>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DW138" s="6"/>
      <c r="DX138" s="6"/>
      <c r="DY138" s="6"/>
      <c r="DZ138" s="6"/>
      <c r="EA138" s="6"/>
      <c r="EB138" s="6"/>
      <c r="EC138" s="6"/>
      <c r="ED138" s="6"/>
    </row>
    <row r="139" spans="1:134" x14ac:dyDescent="0.25">
      <c r="A139" s="6"/>
      <c r="B139" s="6"/>
      <c r="C139" s="6"/>
      <c r="D139" s="7"/>
      <c r="E139" s="7"/>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DW139" s="6"/>
      <c r="DX139" s="6"/>
      <c r="DY139" s="6"/>
      <c r="DZ139" s="6"/>
      <c r="EA139" s="6"/>
      <c r="EB139" s="6"/>
      <c r="EC139" s="6"/>
      <c r="ED139" s="6"/>
    </row>
    <row r="140" spans="1:134" x14ac:dyDescent="0.25">
      <c r="A140" s="6"/>
      <c r="B140" s="6"/>
      <c r="C140" s="6"/>
      <c r="D140" s="7"/>
      <c r="E140" s="7"/>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DW140" s="6"/>
      <c r="DX140" s="6"/>
      <c r="DY140" s="6"/>
      <c r="DZ140" s="6"/>
      <c r="EA140" s="6"/>
      <c r="EB140" s="6"/>
      <c r="EC140" s="6"/>
      <c r="ED140" s="6"/>
    </row>
    <row r="141" spans="1:134" x14ac:dyDescent="0.25">
      <c r="A141" s="6"/>
      <c r="B141" s="6"/>
      <c r="C141" s="6"/>
      <c r="D141" s="7"/>
      <c r="E141" s="7"/>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DW141" s="6"/>
      <c r="DX141" s="6"/>
      <c r="DY141" s="6"/>
      <c r="DZ141" s="6"/>
      <c r="EA141" s="6"/>
      <c r="EB141" s="6"/>
      <c r="EC141" s="6"/>
      <c r="ED141" s="6"/>
    </row>
    <row r="142" spans="1:134" x14ac:dyDescent="0.25">
      <c r="A142" s="6"/>
      <c r="B142" s="6"/>
      <c r="C142" s="6"/>
      <c r="D142" s="7"/>
      <c r="E142" s="7"/>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DW142" s="6"/>
      <c r="DX142" s="6"/>
      <c r="DY142" s="6"/>
      <c r="DZ142" s="6"/>
      <c r="EA142" s="6"/>
      <c r="EB142" s="6"/>
      <c r="EC142" s="6"/>
      <c r="ED142" s="6"/>
    </row>
    <row r="143" spans="1:134" x14ac:dyDescent="0.25">
      <c r="A143" s="6"/>
      <c r="B143" s="6"/>
      <c r="C143" s="6"/>
      <c r="D143" s="7"/>
      <c r="E143" s="7"/>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DW143" s="6"/>
      <c r="DX143" s="6"/>
      <c r="DY143" s="6"/>
      <c r="DZ143" s="6"/>
      <c r="EA143" s="6"/>
      <c r="EB143" s="6"/>
      <c r="EC143" s="6"/>
      <c r="ED143" s="6"/>
    </row>
    <row r="144" spans="1:134" x14ac:dyDescent="0.25">
      <c r="A144" s="6"/>
      <c r="B144" s="6"/>
      <c r="C144" s="6"/>
      <c r="D144" s="7"/>
      <c r="E144" s="7"/>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DW144" s="6"/>
      <c r="DX144" s="6"/>
      <c r="DY144" s="6"/>
      <c r="DZ144" s="6"/>
      <c r="EA144" s="6"/>
      <c r="EB144" s="6"/>
      <c r="EC144" s="6"/>
      <c r="ED144" s="6"/>
    </row>
    <row r="145" spans="1:134" x14ac:dyDescent="0.25">
      <c r="A145" s="6"/>
      <c r="B145" s="6"/>
      <c r="C145" s="6"/>
      <c r="D145" s="7"/>
      <c r="E145" s="7"/>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DW145" s="6"/>
      <c r="DX145" s="6"/>
      <c r="DY145" s="6"/>
      <c r="DZ145" s="6"/>
      <c r="EA145" s="6"/>
      <c r="EB145" s="6"/>
      <c r="EC145" s="6"/>
      <c r="ED145" s="6"/>
    </row>
    <row r="146" spans="1:134" x14ac:dyDescent="0.25">
      <c r="A146" s="6"/>
      <c r="B146" s="6"/>
      <c r="C146" s="6"/>
      <c r="D146" s="7"/>
      <c r="E146" s="7"/>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DW146" s="6"/>
      <c r="DX146" s="6"/>
      <c r="DY146" s="6"/>
      <c r="DZ146" s="6"/>
      <c r="EA146" s="6"/>
      <c r="EB146" s="6"/>
      <c r="EC146" s="6"/>
      <c r="ED146" s="6"/>
    </row>
    <row r="147" spans="1:134" x14ac:dyDescent="0.25">
      <c r="A147" s="6"/>
      <c r="B147" s="6"/>
      <c r="C147" s="6"/>
      <c r="D147" s="7"/>
      <c r="E147" s="7"/>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DW147" s="6"/>
      <c r="DX147" s="6"/>
      <c r="DY147" s="6"/>
      <c r="DZ147" s="6"/>
      <c r="EA147" s="6"/>
      <c r="EB147" s="6"/>
      <c r="EC147" s="6"/>
      <c r="ED147" s="6"/>
    </row>
    <row r="148" spans="1:134" x14ac:dyDescent="0.25">
      <c r="A148" s="6"/>
      <c r="B148" s="6"/>
      <c r="C148" s="6"/>
      <c r="D148" s="7"/>
      <c r="E148" s="7"/>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DW148" s="6"/>
      <c r="DX148" s="6"/>
      <c r="DY148" s="6"/>
      <c r="DZ148" s="6"/>
      <c r="EA148" s="6"/>
      <c r="EB148" s="6"/>
      <c r="EC148" s="6"/>
      <c r="ED148" s="6"/>
    </row>
    <row r="149" spans="1:134" x14ac:dyDescent="0.25">
      <c r="A149" s="6"/>
      <c r="B149" s="6"/>
      <c r="C149" s="6"/>
      <c r="D149" s="7"/>
      <c r="E149" s="7"/>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DW149" s="6"/>
      <c r="DX149" s="6"/>
      <c r="DY149" s="6"/>
      <c r="DZ149" s="6"/>
      <c r="EA149" s="6"/>
      <c r="EB149" s="6"/>
      <c r="EC149" s="6"/>
      <c r="ED149" s="6"/>
    </row>
    <row r="150" spans="1:134" x14ac:dyDescent="0.25">
      <c r="A150" s="6"/>
      <c r="B150" s="6"/>
      <c r="C150" s="6"/>
      <c r="D150" s="7"/>
      <c r="E150" s="7"/>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DW150" s="6"/>
      <c r="DX150" s="6"/>
      <c r="DY150" s="6"/>
      <c r="DZ150" s="6"/>
      <c r="EA150" s="6"/>
      <c r="EB150" s="6"/>
      <c r="EC150" s="6"/>
      <c r="ED150" s="6"/>
    </row>
    <row r="151" spans="1:134" x14ac:dyDescent="0.25">
      <c r="A151" s="6"/>
      <c r="B151" s="6"/>
      <c r="C151" s="6"/>
      <c r="D151" s="7"/>
      <c r="E151" s="7"/>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DW151" s="6"/>
      <c r="DX151" s="6"/>
      <c r="DY151" s="6"/>
      <c r="DZ151" s="6"/>
      <c r="EA151" s="6"/>
      <c r="EB151" s="6"/>
      <c r="EC151" s="6"/>
      <c r="ED151" s="6"/>
    </row>
    <row r="152" spans="1:134" x14ac:dyDescent="0.25">
      <c r="A152" s="6"/>
      <c r="B152" s="6"/>
      <c r="C152" s="6"/>
      <c r="D152" s="7"/>
      <c r="E152" s="7"/>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DW152" s="6"/>
      <c r="DX152" s="6"/>
      <c r="DY152" s="6"/>
      <c r="DZ152" s="6"/>
      <c r="EA152" s="6"/>
      <c r="EB152" s="6"/>
      <c r="EC152" s="6"/>
      <c r="ED152" s="6"/>
    </row>
    <row r="153" spans="1:134" x14ac:dyDescent="0.25">
      <c r="A153" s="6"/>
      <c r="B153" s="6"/>
      <c r="C153" s="6"/>
      <c r="D153" s="7"/>
      <c r="E153" s="7"/>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DW153" s="6"/>
      <c r="DX153" s="6"/>
      <c r="DY153" s="6"/>
      <c r="DZ153" s="6"/>
      <c r="EA153" s="6"/>
      <c r="EB153" s="6"/>
      <c r="EC153" s="6"/>
      <c r="ED153" s="6"/>
    </row>
    <row r="154" spans="1:134" x14ac:dyDescent="0.25">
      <c r="A154" s="6"/>
      <c r="B154" s="6"/>
      <c r="C154" s="6"/>
      <c r="D154" s="7"/>
      <c r="E154" s="7"/>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DW154" s="6"/>
      <c r="DX154" s="6"/>
      <c r="DY154" s="6"/>
      <c r="DZ154" s="6"/>
      <c r="EA154" s="6"/>
      <c r="EB154" s="6"/>
      <c r="EC154" s="6"/>
      <c r="ED154" s="6"/>
    </row>
    <row r="155" spans="1:134" x14ac:dyDescent="0.25">
      <c r="A155" s="6"/>
      <c r="B155" s="6"/>
      <c r="C155" s="6"/>
      <c r="D155" s="7"/>
      <c r="E155" s="7"/>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DW155" s="6"/>
      <c r="DX155" s="6"/>
      <c r="DY155" s="6"/>
      <c r="DZ155" s="6"/>
      <c r="EA155" s="6"/>
      <c r="EB155" s="6"/>
      <c r="EC155" s="6"/>
      <c r="ED155" s="6"/>
    </row>
    <row r="156" spans="1:134" x14ac:dyDescent="0.25">
      <c r="A156" s="6"/>
      <c r="B156" s="6"/>
      <c r="C156" s="6"/>
      <c r="D156" s="7"/>
      <c r="E156" s="7"/>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DW156" s="6"/>
      <c r="DX156" s="6"/>
      <c r="DY156" s="6"/>
      <c r="DZ156" s="6"/>
      <c r="EA156" s="6"/>
      <c r="EB156" s="6"/>
      <c r="EC156" s="6"/>
      <c r="ED156" s="6"/>
    </row>
    <row r="157" spans="1:134" x14ac:dyDescent="0.25">
      <c r="A157" s="6"/>
      <c r="B157" s="6"/>
      <c r="C157" s="6"/>
      <c r="D157" s="7"/>
      <c r="E157" s="7"/>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DW157" s="6"/>
      <c r="DX157" s="6"/>
      <c r="DY157" s="6"/>
      <c r="DZ157" s="6"/>
      <c r="EA157" s="6"/>
      <c r="EB157" s="6"/>
      <c r="EC157" s="6"/>
      <c r="ED157" s="6"/>
    </row>
    <row r="158" spans="1:134" x14ac:dyDescent="0.25">
      <c r="A158" s="6"/>
      <c r="B158" s="6"/>
      <c r="C158" s="6"/>
      <c r="D158" s="7"/>
      <c r="E158" s="7"/>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DW158" s="6"/>
      <c r="DX158" s="6"/>
      <c r="DY158" s="6"/>
      <c r="DZ158" s="6"/>
      <c r="EA158" s="6"/>
      <c r="EB158" s="6"/>
      <c r="EC158" s="6"/>
      <c r="ED158" s="6"/>
    </row>
    <row r="159" spans="1:134" x14ac:dyDescent="0.25">
      <c r="A159" s="6"/>
      <c r="B159" s="6"/>
      <c r="C159" s="6"/>
      <c r="D159" s="7"/>
      <c r="E159" s="7"/>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DW159" s="6"/>
      <c r="DX159" s="6"/>
      <c r="DY159" s="6"/>
      <c r="DZ159" s="6"/>
      <c r="EA159" s="6"/>
      <c r="EB159" s="6"/>
      <c r="EC159" s="6"/>
      <c r="ED159" s="6"/>
    </row>
    <row r="160" spans="1:134" x14ac:dyDescent="0.25">
      <c r="A160" s="6"/>
      <c r="B160" s="6"/>
      <c r="C160" s="6"/>
      <c r="D160" s="7"/>
      <c r="E160" s="7"/>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DW160" s="6"/>
      <c r="DX160" s="6"/>
      <c r="DY160" s="6"/>
      <c r="DZ160" s="6"/>
      <c r="EA160" s="6"/>
      <c r="EB160" s="6"/>
      <c r="EC160" s="6"/>
      <c r="ED160" s="6"/>
    </row>
    <row r="161" spans="1:134" x14ac:dyDescent="0.25">
      <c r="A161" s="6"/>
      <c r="B161" s="6"/>
      <c r="C161" s="6"/>
      <c r="D161" s="7"/>
      <c r="E161" s="7"/>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DW161" s="6"/>
      <c r="DX161" s="6"/>
      <c r="DY161" s="6"/>
      <c r="DZ161" s="6"/>
      <c r="EA161" s="6"/>
      <c r="EB161" s="6"/>
      <c r="EC161" s="6"/>
      <c r="ED161" s="6"/>
    </row>
    <row r="162" spans="1:134" x14ac:dyDescent="0.25">
      <c r="A162" s="6"/>
      <c r="B162" s="6"/>
      <c r="C162" s="6"/>
      <c r="D162" s="7"/>
      <c r="E162" s="7"/>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DW162" s="6"/>
      <c r="DX162" s="6"/>
      <c r="DY162" s="6"/>
      <c r="DZ162" s="6"/>
      <c r="EA162" s="6"/>
      <c r="EB162" s="6"/>
      <c r="EC162" s="6"/>
      <c r="ED162" s="6"/>
    </row>
    <row r="163" spans="1:134" x14ac:dyDescent="0.25">
      <c r="A163" s="6"/>
      <c r="B163" s="6"/>
      <c r="C163" s="6"/>
      <c r="D163" s="7"/>
      <c r="E163" s="7"/>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DW163" s="6"/>
      <c r="DX163" s="6"/>
      <c r="DY163" s="6"/>
      <c r="DZ163" s="6"/>
      <c r="EA163" s="6"/>
      <c r="EB163" s="6"/>
      <c r="EC163" s="6"/>
      <c r="ED163" s="6"/>
    </row>
    <row r="164" spans="1:134" x14ac:dyDescent="0.25">
      <c r="A164" s="6"/>
      <c r="B164" s="6"/>
      <c r="C164" s="6"/>
      <c r="D164" s="7"/>
      <c r="E164" s="7"/>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DW164" s="6"/>
      <c r="DX164" s="6"/>
      <c r="DY164" s="6"/>
      <c r="DZ164" s="6"/>
      <c r="EA164" s="6"/>
      <c r="EB164" s="6"/>
      <c r="EC164" s="6"/>
      <c r="ED164" s="6"/>
    </row>
    <row r="165" spans="1:134" x14ac:dyDescent="0.25">
      <c r="A165" s="6"/>
      <c r="B165" s="6"/>
      <c r="C165" s="6"/>
      <c r="D165" s="7"/>
      <c r="E165" s="7"/>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DW165" s="6"/>
      <c r="DX165" s="6"/>
      <c r="DY165" s="6"/>
      <c r="DZ165" s="6"/>
      <c r="EA165" s="6"/>
      <c r="EB165" s="6"/>
      <c r="EC165" s="6"/>
      <c r="ED165" s="6"/>
    </row>
    <row r="166" spans="1:134" x14ac:dyDescent="0.25">
      <c r="A166" s="6"/>
      <c r="B166" s="6"/>
      <c r="C166" s="6"/>
      <c r="D166" s="7"/>
      <c r="E166" s="7"/>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DW166" s="6"/>
      <c r="DX166" s="6"/>
      <c r="DY166" s="6"/>
      <c r="DZ166" s="6"/>
      <c r="EA166" s="6"/>
      <c r="EB166" s="6"/>
      <c r="EC166" s="6"/>
      <c r="ED166" s="6"/>
    </row>
    <row r="167" spans="1:134" x14ac:dyDescent="0.25">
      <c r="A167" s="6"/>
      <c r="B167" s="6"/>
      <c r="C167" s="6"/>
      <c r="D167" s="7"/>
      <c r="E167" s="7"/>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DW167" s="6"/>
      <c r="DX167" s="6"/>
      <c r="DY167" s="6"/>
      <c r="DZ167" s="6"/>
      <c r="EA167" s="6"/>
      <c r="EB167" s="6"/>
      <c r="EC167" s="6"/>
      <c r="ED167" s="6"/>
    </row>
    <row r="168" spans="1:134" x14ac:dyDescent="0.25">
      <c r="A168" s="6"/>
      <c r="B168" s="6"/>
      <c r="C168" s="6"/>
      <c r="D168" s="7"/>
      <c r="E168" s="7"/>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DW168" s="6"/>
      <c r="DX168" s="6"/>
      <c r="DY168" s="6"/>
      <c r="DZ168" s="6"/>
      <c r="EA168" s="6"/>
      <c r="EB168" s="6"/>
      <c r="EC168" s="6"/>
      <c r="ED168" s="6"/>
    </row>
    <row r="169" spans="1:134" x14ac:dyDescent="0.25">
      <c r="A169" s="6"/>
      <c r="B169" s="6"/>
      <c r="C169" s="6"/>
      <c r="D169" s="7"/>
      <c r="E169" s="7"/>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DW169" s="6"/>
      <c r="DX169" s="6"/>
      <c r="DY169" s="6"/>
      <c r="DZ169" s="6"/>
      <c r="EA169" s="6"/>
      <c r="EB169" s="6"/>
      <c r="EC169" s="6"/>
      <c r="ED169" s="6"/>
    </row>
    <row r="170" spans="1:134" x14ac:dyDescent="0.25">
      <c r="A170" s="6"/>
      <c r="B170" s="6"/>
      <c r="C170" s="6"/>
      <c r="D170" s="7"/>
      <c r="E170" s="7"/>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DW170" s="6"/>
      <c r="DX170" s="6"/>
      <c r="DY170" s="6"/>
      <c r="DZ170" s="6"/>
      <c r="EA170" s="6"/>
      <c r="EB170" s="6"/>
      <c r="EC170" s="6"/>
      <c r="ED170" s="6"/>
    </row>
    <row r="171" spans="1:134" x14ac:dyDescent="0.25">
      <c r="A171" s="6"/>
      <c r="B171" s="6"/>
      <c r="C171" s="6"/>
      <c r="D171" s="7"/>
      <c r="E171" s="7"/>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DW171" s="6"/>
      <c r="DX171" s="6"/>
      <c r="DY171" s="6"/>
      <c r="DZ171" s="6"/>
      <c r="EA171" s="6"/>
      <c r="EB171" s="6"/>
      <c r="EC171" s="6"/>
      <c r="ED171" s="6"/>
    </row>
    <row r="172" spans="1:134" x14ac:dyDescent="0.25">
      <c r="A172" s="6"/>
      <c r="B172" s="6"/>
      <c r="C172" s="6"/>
      <c r="D172" s="7"/>
      <c r="E172" s="7"/>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DW172" s="6"/>
      <c r="DX172" s="6"/>
      <c r="DY172" s="6"/>
      <c r="DZ172" s="6"/>
      <c r="EA172" s="6"/>
      <c r="EB172" s="6"/>
      <c r="EC172" s="6"/>
      <c r="ED172" s="6"/>
    </row>
    <row r="173" spans="1:134" x14ac:dyDescent="0.25">
      <c r="A173" s="6"/>
      <c r="B173" s="6"/>
      <c r="C173" s="6"/>
      <c r="D173" s="7"/>
      <c r="E173" s="7"/>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DW173" s="6"/>
      <c r="DX173" s="6"/>
      <c r="DY173" s="6"/>
      <c r="DZ173" s="6"/>
      <c r="EA173" s="6"/>
      <c r="EB173" s="6"/>
      <c r="EC173" s="6"/>
      <c r="ED173" s="6"/>
    </row>
    <row r="174" spans="1:134" x14ac:dyDescent="0.25">
      <c r="A174" s="6"/>
      <c r="B174" s="6"/>
      <c r="C174" s="6"/>
      <c r="D174" s="7"/>
      <c r="E174" s="7"/>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DW174" s="6"/>
      <c r="DX174" s="6"/>
      <c r="DY174" s="6"/>
      <c r="DZ174" s="6"/>
      <c r="EA174" s="6"/>
      <c r="EB174" s="6"/>
      <c r="EC174" s="6"/>
      <c r="ED174" s="6"/>
    </row>
    <row r="175" spans="1:134" x14ac:dyDescent="0.25">
      <c r="A175" s="6"/>
      <c r="B175" s="6"/>
      <c r="C175" s="6"/>
      <c r="D175" s="7"/>
      <c r="E175" s="7"/>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DW175" s="6"/>
      <c r="DX175" s="6"/>
      <c r="DY175" s="6"/>
      <c r="DZ175" s="6"/>
      <c r="EA175" s="6"/>
      <c r="EB175" s="6"/>
      <c r="EC175" s="6"/>
      <c r="ED175" s="6"/>
    </row>
    <row r="176" spans="1:134" x14ac:dyDescent="0.25">
      <c r="A176" s="6"/>
      <c r="B176" s="6"/>
      <c r="C176" s="6"/>
      <c r="D176" s="7"/>
      <c r="E176" s="7"/>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DW176" s="6"/>
      <c r="DX176" s="6"/>
      <c r="DY176" s="6"/>
      <c r="DZ176" s="6"/>
      <c r="EA176" s="6"/>
      <c r="EB176" s="6"/>
      <c r="EC176" s="6"/>
      <c r="ED176" s="6"/>
    </row>
    <row r="177" spans="1:134" x14ac:dyDescent="0.25">
      <c r="A177" s="6"/>
      <c r="B177" s="6"/>
      <c r="C177" s="6"/>
      <c r="D177" s="7"/>
      <c r="E177" s="7"/>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DW177" s="6"/>
      <c r="DX177" s="6"/>
      <c r="DY177" s="6"/>
      <c r="DZ177" s="6"/>
      <c r="EA177" s="6"/>
      <c r="EB177" s="6"/>
      <c r="EC177" s="6"/>
      <c r="ED177" s="6"/>
    </row>
    <row r="178" spans="1:134" x14ac:dyDescent="0.25">
      <c r="A178" s="6"/>
      <c r="B178" s="6"/>
      <c r="C178" s="6"/>
      <c r="D178" s="7"/>
      <c r="E178" s="7"/>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DW178" s="6"/>
      <c r="DX178" s="6"/>
      <c r="DY178" s="6"/>
      <c r="DZ178" s="6"/>
      <c r="EA178" s="6"/>
      <c r="EB178" s="6"/>
      <c r="EC178" s="6"/>
      <c r="ED178" s="6"/>
    </row>
    <row r="179" spans="1:134" x14ac:dyDescent="0.25">
      <c r="A179" s="6"/>
      <c r="B179" s="6"/>
      <c r="C179" s="6"/>
      <c r="D179" s="7"/>
      <c r="E179" s="7"/>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DW179" s="6"/>
      <c r="DX179" s="6"/>
      <c r="DY179" s="6"/>
      <c r="DZ179" s="6"/>
      <c r="EA179" s="6"/>
      <c r="EB179" s="6"/>
      <c r="EC179" s="6"/>
      <c r="ED179" s="6"/>
    </row>
    <row r="180" spans="1:134" x14ac:dyDescent="0.25">
      <c r="A180" s="6"/>
      <c r="B180" s="6"/>
      <c r="C180" s="6"/>
      <c r="D180" s="7"/>
      <c r="E180" s="7"/>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DW180" s="6"/>
      <c r="DX180" s="6"/>
      <c r="DY180" s="6"/>
      <c r="DZ180" s="6"/>
      <c r="EA180" s="6"/>
      <c r="EB180" s="6"/>
      <c r="EC180" s="6"/>
      <c r="ED180" s="6"/>
    </row>
    <row r="181" spans="1:134" x14ac:dyDescent="0.25">
      <c r="A181" s="6"/>
      <c r="B181" s="6"/>
      <c r="C181" s="6"/>
      <c r="D181" s="7"/>
      <c r="E181" s="7"/>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DW181" s="6"/>
      <c r="DX181" s="6"/>
      <c r="DY181" s="6"/>
      <c r="DZ181" s="6"/>
      <c r="EA181" s="6"/>
      <c r="EB181" s="6"/>
      <c r="EC181" s="6"/>
      <c r="ED181" s="6"/>
    </row>
    <row r="182" spans="1:134" x14ac:dyDescent="0.25">
      <c r="A182" s="6"/>
      <c r="B182" s="6"/>
      <c r="C182" s="6"/>
      <c r="D182" s="7"/>
      <c r="E182" s="7"/>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DW182" s="6"/>
      <c r="DX182" s="6"/>
      <c r="DY182" s="6"/>
      <c r="DZ182" s="6"/>
      <c r="EA182" s="6"/>
      <c r="EB182" s="6"/>
      <c r="EC182" s="6"/>
      <c r="ED182" s="6"/>
    </row>
    <row r="183" spans="1:134" x14ac:dyDescent="0.25">
      <c r="A183" s="6"/>
      <c r="B183" s="6"/>
      <c r="C183" s="6"/>
      <c r="D183" s="7"/>
      <c r="E183" s="7"/>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DW183" s="6"/>
      <c r="DX183" s="6"/>
      <c r="DY183" s="6"/>
      <c r="DZ183" s="6"/>
      <c r="EA183" s="6"/>
      <c r="EB183" s="6"/>
      <c r="EC183" s="6"/>
      <c r="ED183" s="6"/>
    </row>
    <row r="184" spans="1:134" x14ac:dyDescent="0.25">
      <c r="A184" s="6"/>
      <c r="B184" s="6"/>
      <c r="C184" s="6"/>
      <c r="D184" s="7"/>
      <c r="E184" s="7"/>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DW184" s="6"/>
      <c r="DX184" s="6"/>
      <c r="DY184" s="6"/>
      <c r="DZ184" s="6"/>
      <c r="EA184" s="6"/>
      <c r="EB184" s="6"/>
      <c r="EC184" s="6"/>
      <c r="ED184" s="6"/>
    </row>
    <row r="185" spans="1:134" x14ac:dyDescent="0.25">
      <c r="A185" s="6"/>
      <c r="B185" s="6"/>
      <c r="C185" s="6"/>
      <c r="D185" s="7"/>
      <c r="E185" s="7"/>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DW185" s="6"/>
      <c r="DX185" s="6"/>
      <c r="DY185" s="6"/>
      <c r="DZ185" s="6"/>
      <c r="EA185" s="6"/>
      <c r="EB185" s="6"/>
      <c r="EC185" s="6"/>
      <c r="ED185" s="6"/>
    </row>
    <row r="186" spans="1:134" x14ac:dyDescent="0.25">
      <c r="A186" s="6"/>
      <c r="B186" s="6"/>
      <c r="C186" s="6"/>
      <c r="D186" s="7"/>
      <c r="E186" s="7"/>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DW186" s="6"/>
      <c r="DX186" s="6"/>
      <c r="DY186" s="6"/>
      <c r="DZ186" s="6"/>
      <c r="EA186" s="6"/>
      <c r="EB186" s="6"/>
      <c r="EC186" s="6"/>
      <c r="ED186" s="6"/>
    </row>
    <row r="187" spans="1:134" x14ac:dyDescent="0.25">
      <c r="A187" s="6"/>
      <c r="B187" s="6"/>
      <c r="C187" s="6"/>
      <c r="D187" s="7"/>
      <c r="E187" s="7"/>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DW187" s="6"/>
      <c r="DX187" s="6"/>
      <c r="DY187" s="6"/>
      <c r="DZ187" s="6"/>
      <c r="EA187" s="6"/>
      <c r="EB187" s="6"/>
      <c r="EC187" s="6"/>
      <c r="ED187" s="6"/>
    </row>
    <row r="188" spans="1:134" x14ac:dyDescent="0.25">
      <c r="A188" s="6"/>
      <c r="B188" s="6"/>
      <c r="C188" s="6"/>
      <c r="D188" s="7"/>
      <c r="E188" s="7"/>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DW188" s="6"/>
      <c r="DX188" s="6"/>
      <c r="DY188" s="6"/>
      <c r="DZ188" s="6"/>
      <c r="EA188" s="6"/>
      <c r="EB188" s="6"/>
      <c r="EC188" s="6"/>
      <c r="ED188" s="6"/>
    </row>
    <row r="189" spans="1:134" x14ac:dyDescent="0.25">
      <c r="A189" s="6"/>
      <c r="B189" s="6"/>
      <c r="C189" s="6"/>
      <c r="D189" s="7"/>
      <c r="E189" s="7"/>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DW189" s="6"/>
      <c r="DX189" s="6"/>
      <c r="DY189" s="6"/>
      <c r="DZ189" s="6"/>
      <c r="EA189" s="6"/>
      <c r="EB189" s="6"/>
      <c r="EC189" s="6"/>
      <c r="ED189" s="6"/>
    </row>
    <row r="190" spans="1:134" x14ac:dyDescent="0.25">
      <c r="A190" s="6"/>
      <c r="B190" s="6"/>
      <c r="C190" s="6"/>
      <c r="D190" s="7"/>
      <c r="E190" s="7"/>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DW190" s="6"/>
      <c r="DX190" s="6"/>
      <c r="DY190" s="6"/>
      <c r="DZ190" s="6"/>
      <c r="EA190" s="6"/>
      <c r="EB190" s="6"/>
      <c r="EC190" s="6"/>
      <c r="ED190" s="6"/>
    </row>
    <row r="191" spans="1:134" x14ac:dyDescent="0.25">
      <c r="A191" s="6"/>
      <c r="B191" s="6"/>
      <c r="C191" s="6"/>
      <c r="D191" s="7"/>
      <c r="E191" s="7"/>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DW191" s="6"/>
      <c r="DX191" s="6"/>
      <c r="DY191" s="6"/>
      <c r="DZ191" s="6"/>
      <c r="EA191" s="6"/>
      <c r="EB191" s="6"/>
      <c r="EC191" s="6"/>
      <c r="ED191" s="6"/>
    </row>
    <row r="192" spans="1:134" x14ac:dyDescent="0.25">
      <c r="A192" s="6"/>
      <c r="B192" s="6"/>
      <c r="C192" s="6"/>
      <c r="D192" s="7"/>
      <c r="E192" s="7"/>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DW192" s="6"/>
      <c r="DX192" s="6"/>
      <c r="DY192" s="6"/>
      <c r="DZ192" s="6"/>
      <c r="EA192" s="6"/>
      <c r="EB192" s="6"/>
      <c r="EC192" s="6"/>
      <c r="ED192" s="6"/>
    </row>
    <row r="193" spans="1:134" x14ac:dyDescent="0.25">
      <c r="A193" s="6"/>
      <c r="B193" s="6"/>
      <c r="C193" s="6"/>
      <c r="D193" s="7"/>
      <c r="E193" s="7"/>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DW193" s="6"/>
      <c r="DX193" s="6"/>
      <c r="DY193" s="6"/>
      <c r="DZ193" s="6"/>
      <c r="EA193" s="6"/>
      <c r="EB193" s="6"/>
      <c r="EC193" s="6"/>
      <c r="ED193" s="6"/>
    </row>
    <row r="194" spans="1:134" x14ac:dyDescent="0.25">
      <c r="A194" s="6"/>
      <c r="B194" s="6"/>
      <c r="C194" s="6"/>
      <c r="D194" s="7"/>
      <c r="E194" s="7"/>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DW194" s="6"/>
      <c r="DX194" s="6"/>
      <c r="DY194" s="6"/>
      <c r="DZ194" s="6"/>
      <c r="EA194" s="6"/>
      <c r="EB194" s="6"/>
      <c r="EC194" s="6"/>
      <c r="ED194" s="6"/>
    </row>
    <row r="195" spans="1:134" x14ac:dyDescent="0.25">
      <c r="A195" s="6"/>
      <c r="B195" s="6"/>
      <c r="C195" s="6"/>
      <c r="D195" s="7"/>
      <c r="E195" s="7"/>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DW195" s="6"/>
      <c r="DX195" s="6"/>
      <c r="DY195" s="6"/>
      <c r="DZ195" s="6"/>
      <c r="EA195" s="6"/>
      <c r="EB195" s="6"/>
      <c r="EC195" s="6"/>
      <c r="ED195" s="6"/>
    </row>
    <row r="196" spans="1:134" x14ac:dyDescent="0.25">
      <c r="A196" s="6"/>
      <c r="B196" s="6"/>
      <c r="C196" s="6"/>
      <c r="D196" s="7"/>
      <c r="E196" s="7"/>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DW196" s="6"/>
      <c r="DX196" s="6"/>
      <c r="DY196" s="6"/>
      <c r="DZ196" s="6"/>
      <c r="EA196" s="6"/>
      <c r="EB196" s="6"/>
      <c r="EC196" s="6"/>
      <c r="ED196" s="6"/>
    </row>
    <row r="197" spans="1:134" x14ac:dyDescent="0.25">
      <c r="A197" s="6"/>
      <c r="B197" s="6"/>
      <c r="C197" s="6"/>
      <c r="D197" s="7"/>
      <c r="E197" s="7"/>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DW197" s="6"/>
      <c r="DX197" s="6"/>
      <c r="DY197" s="6"/>
      <c r="DZ197" s="6"/>
      <c r="EA197" s="6"/>
      <c r="EB197" s="6"/>
      <c r="EC197" s="6"/>
      <c r="ED197" s="6"/>
    </row>
    <row r="198" spans="1:134" x14ac:dyDescent="0.25">
      <c r="A198" s="6"/>
      <c r="B198" s="6"/>
      <c r="C198" s="6"/>
      <c r="D198" s="7"/>
      <c r="E198" s="7"/>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DW198" s="6"/>
      <c r="DX198" s="6"/>
      <c r="DY198" s="6"/>
      <c r="DZ198" s="6"/>
      <c r="EA198" s="6"/>
      <c r="EB198" s="6"/>
      <c r="EC198" s="6"/>
      <c r="ED198" s="6"/>
    </row>
    <row r="199" spans="1:134" x14ac:dyDescent="0.25">
      <c r="A199" s="6"/>
      <c r="B199" s="6"/>
      <c r="C199" s="6"/>
      <c r="D199" s="7"/>
      <c r="E199" s="7"/>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DW199" s="6"/>
      <c r="DX199" s="6"/>
      <c r="DY199" s="6"/>
      <c r="DZ199" s="6"/>
      <c r="EA199" s="6"/>
      <c r="EB199" s="6"/>
      <c r="EC199" s="6"/>
      <c r="ED199" s="6"/>
    </row>
    <row r="200" spans="1:134" x14ac:dyDescent="0.25">
      <c r="A200" s="6"/>
      <c r="B200" s="6"/>
      <c r="C200" s="6"/>
      <c r="D200" s="7"/>
      <c r="E200" s="7"/>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DW200" s="6"/>
      <c r="DX200" s="6"/>
      <c r="DY200" s="6"/>
      <c r="DZ200" s="6"/>
      <c r="EA200" s="6"/>
      <c r="EB200" s="6"/>
      <c r="EC200" s="6"/>
      <c r="ED200" s="6"/>
    </row>
    <row r="201" spans="1:134" x14ac:dyDescent="0.25">
      <c r="A201" s="6"/>
      <c r="B201" s="6"/>
      <c r="C201" s="6"/>
      <c r="D201" s="7"/>
      <c r="E201" s="7"/>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DW201" s="6"/>
      <c r="DX201" s="6"/>
      <c r="DY201" s="6"/>
      <c r="DZ201" s="6"/>
      <c r="EA201" s="6"/>
      <c r="EB201" s="6"/>
      <c r="EC201" s="6"/>
      <c r="ED201" s="6"/>
    </row>
  </sheetData>
  <sheetProtection algorithmName="SHA-512" hashValue="Oihe6SUnQT+2zwOB7rBlk9eS0D+aXFSVeDDwbXxoT20AtI0/uKXN0Gg7FCNuwUhOcUChjzsucFRs3Y3qc3Zigg==" saltValue="P+50u3Lg8c2SnyXOb0XRtw==" spinCount="100000" sheet="1" objects="1" scenarios="1" insertColumns="0"/>
  <mergeCells count="9">
    <mergeCell ref="K4:L4"/>
    <mergeCell ref="N4:R4"/>
    <mergeCell ref="AK6:AO6"/>
    <mergeCell ref="G2:I2"/>
    <mergeCell ref="K2:L2"/>
    <mergeCell ref="N2:R2"/>
    <mergeCell ref="G3:H3"/>
    <mergeCell ref="K3:L3"/>
    <mergeCell ref="N3:R3"/>
  </mergeCells>
  <conditionalFormatting sqref="C10 C13:C63">
    <cfRule type="expression" dxfId="693" priority="5">
      <formula>IF($AO10="investigation",TRUE,FALSE)</formula>
    </cfRule>
  </conditionalFormatting>
  <conditionalFormatting sqref="C12">
    <cfRule type="expression" dxfId="692" priority="3">
      <formula>IF($AO12="investigation",TRUE,FALSE)</formula>
    </cfRule>
  </conditionalFormatting>
  <conditionalFormatting sqref="C11">
    <cfRule type="expression" dxfId="691" priority="2">
      <formula>IF($AO11="investigation",TRUE,FALSE)</formula>
    </cfRule>
  </conditionalFormatting>
  <conditionalFormatting sqref="C64:C110">
    <cfRule type="expression" dxfId="690" priority="1">
      <formula>IF($AO64="investigation",TRUE,FALSE)</formula>
    </cfRule>
  </conditionalFormatting>
  <dataValidations xWindow="886" yWindow="679" count="7">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sqref="C10:C63">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allowBlank="1" showInputMessage="1" showErrorMessage="1" error="Please select option from drop down menu" prompt="Please provide the specific staff type, job title, etc. of the person/s who will undertake this activity, if known" sqref="E10:E110"/>
    <dataValidation type="textLength" allowBlank="1" showInputMessage="1" showErrorMessage="1" error="Input limited to 100 characters including spaces." sqref="B5">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horizontalDpi="1200" verticalDpi="1200" r:id="rId1"/>
  <colBreaks count="1" manualBreakCount="1">
    <brk id="34" max="109"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A110"/>
  <sheetViews>
    <sheetView showGridLines="0" workbookViewId="0">
      <selection activeCell="E13" sqref="E13"/>
    </sheetView>
  </sheetViews>
  <sheetFormatPr defaultColWidth="9.140625" defaultRowHeight="15" x14ac:dyDescent="0.25"/>
  <cols>
    <col min="1" max="2" width="44.7109375" customWidth="1"/>
    <col min="3" max="3" width="23.7109375" customWidth="1"/>
    <col min="4" max="4" width="17.7109375" customWidth="1"/>
    <col min="5" max="5" width="25.7109375" style="554"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9.140625" customWidth="1"/>
    <col min="49" max="49" width="9.140625" hidden="1" customWidth="1"/>
  </cols>
  <sheetData>
    <row r="1" spans="1:53" ht="18" customHeight="1" x14ac:dyDescent="0.25">
      <c r="A1" s="6"/>
      <c r="B1" s="6"/>
      <c r="C1" s="6"/>
      <c r="D1" s="7"/>
      <c r="E1" s="548"/>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0.25" customHeight="1" x14ac:dyDescent="0.25">
      <c r="A2" s="15"/>
      <c r="B2" s="12"/>
      <c r="C2" s="12"/>
      <c r="D2" s="13"/>
      <c r="E2" s="549"/>
      <c r="F2" s="12"/>
      <c r="G2" s="12"/>
      <c r="H2" s="12"/>
      <c r="I2" s="40"/>
      <c r="J2" s="13"/>
      <c r="K2" s="597"/>
      <c r="L2" s="605"/>
      <c r="M2" s="52"/>
      <c r="N2" s="606"/>
      <c r="O2" s="607"/>
      <c r="P2" s="607"/>
      <c r="Q2" s="607"/>
      <c r="R2" s="607"/>
      <c r="S2" s="13"/>
      <c r="T2" s="13"/>
      <c r="U2" s="13"/>
      <c r="V2" s="13"/>
      <c r="W2" s="13"/>
      <c r="X2" s="13"/>
      <c r="Y2" s="13"/>
      <c r="Z2" s="13"/>
      <c r="AA2" s="13"/>
      <c r="AB2" s="13"/>
      <c r="AC2" s="13"/>
      <c r="AD2" s="13"/>
      <c r="AE2" s="13"/>
      <c r="AF2" s="13"/>
      <c r="AG2" s="13"/>
      <c r="AH2" s="21"/>
      <c r="AI2" s="21"/>
      <c r="AJ2" s="6"/>
      <c r="AK2" s="6"/>
      <c r="AL2" s="6"/>
      <c r="AM2" s="6"/>
      <c r="AN2" s="6"/>
      <c r="AO2" s="6"/>
      <c r="AP2" s="6"/>
      <c r="AQ2" s="6"/>
      <c r="AR2" s="6"/>
      <c r="AS2" s="6"/>
      <c r="AT2" s="6"/>
      <c r="AU2" s="6"/>
      <c r="AV2" s="6"/>
      <c r="AW2" s="6"/>
      <c r="AX2" s="6"/>
      <c r="AY2" s="6"/>
      <c r="AZ2" s="6"/>
      <c r="BA2" s="6"/>
    </row>
    <row r="3" spans="1:53" s="75" customFormat="1" x14ac:dyDescent="0.25">
      <c r="A3" s="62" t="s">
        <v>174</v>
      </c>
      <c r="B3" s="76">
        <f>IRAS_REF</f>
        <v>281958</v>
      </c>
      <c r="C3" s="84"/>
      <c r="D3" s="122"/>
      <c r="E3" s="550"/>
      <c r="F3" s="69"/>
      <c r="G3" s="69"/>
      <c r="H3" s="69"/>
      <c r="I3" s="70"/>
      <c r="J3" s="122"/>
      <c r="K3" s="597"/>
      <c r="L3" s="598"/>
      <c r="M3" s="123"/>
      <c r="N3" s="595"/>
      <c r="O3" s="596"/>
      <c r="P3" s="596"/>
      <c r="Q3" s="596"/>
      <c r="R3" s="596"/>
      <c r="S3" s="122"/>
      <c r="T3" s="122"/>
      <c r="U3" s="122"/>
      <c r="V3" s="122"/>
      <c r="W3" s="122"/>
      <c r="X3" s="122"/>
      <c r="Y3" s="122"/>
      <c r="Z3" s="122"/>
      <c r="AA3" s="122"/>
      <c r="AB3" s="122"/>
      <c r="AC3" s="122"/>
      <c r="AD3" s="122"/>
      <c r="AE3" s="122"/>
      <c r="AF3" s="122"/>
      <c r="AG3" s="122"/>
      <c r="AH3" s="78"/>
      <c r="AI3" s="78"/>
      <c r="AJ3" s="80"/>
      <c r="AK3" s="80"/>
      <c r="AL3" s="80"/>
      <c r="AM3" s="80"/>
      <c r="AN3" s="80"/>
      <c r="AO3" s="80"/>
      <c r="AP3" s="80"/>
      <c r="AQ3" s="80"/>
      <c r="AR3" s="80"/>
      <c r="AS3" s="80"/>
      <c r="AT3" s="80"/>
      <c r="AU3" s="80"/>
      <c r="AV3" s="80"/>
      <c r="AW3" s="6" t="str">
        <f>'Study Information'!$B$11</f>
        <v>No</v>
      </c>
      <c r="AX3" s="80"/>
      <c r="AY3" s="80"/>
      <c r="AZ3" s="80"/>
      <c r="BA3" s="80"/>
    </row>
    <row r="4" spans="1:53" s="75" customFormat="1" ht="28.5" x14ac:dyDescent="0.2">
      <c r="A4" s="490" t="s">
        <v>688</v>
      </c>
      <c r="B4" s="578" t="s">
        <v>701</v>
      </c>
      <c r="C4" s="84"/>
      <c r="D4" s="122"/>
      <c r="E4" s="550"/>
      <c r="F4" s="69"/>
      <c r="G4" s="69"/>
      <c r="H4" s="69"/>
      <c r="I4" s="69"/>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78"/>
      <c r="AI4" s="78"/>
      <c r="AJ4" s="80"/>
      <c r="AK4" s="80"/>
      <c r="AL4" s="80"/>
      <c r="AM4" s="80"/>
      <c r="AN4" s="80"/>
      <c r="AO4" s="80"/>
      <c r="AP4" s="80"/>
      <c r="AQ4" s="80"/>
      <c r="AR4" s="80"/>
      <c r="AS4" s="80"/>
      <c r="AT4" s="80"/>
      <c r="AU4" s="80"/>
      <c r="AV4" s="80"/>
      <c r="AW4" s="80"/>
      <c r="AX4" s="80"/>
      <c r="AY4" s="80"/>
      <c r="AZ4" s="80"/>
      <c r="BA4" s="80"/>
    </row>
    <row r="5" spans="1:53" s="75" customFormat="1" x14ac:dyDescent="0.25">
      <c r="A5" s="62" t="s">
        <v>348</v>
      </c>
      <c r="B5" s="465">
        <v>1500</v>
      </c>
      <c r="C5" s="86"/>
      <c r="D5" s="87"/>
      <c r="E5" s="551"/>
      <c r="F5" s="125" t="str">
        <f>IF(AW3=0,"Please complete Q3 in the 'Study Information' tab before completing column E onwards","")</f>
        <v/>
      </c>
      <c r="G5" s="87"/>
      <c r="H5" s="87"/>
      <c r="I5" s="17"/>
      <c r="J5" s="17"/>
      <c r="K5" s="17"/>
      <c r="L5" s="17"/>
      <c r="M5" s="17"/>
      <c r="N5" s="17"/>
      <c r="O5" s="17"/>
      <c r="P5" s="17"/>
      <c r="Q5" s="17"/>
      <c r="R5" s="17"/>
      <c r="S5" s="17"/>
      <c r="T5" s="17"/>
      <c r="U5" s="17"/>
      <c r="V5" s="17"/>
      <c r="W5" s="17"/>
      <c r="X5" s="17"/>
      <c r="Y5" s="17"/>
      <c r="Z5" s="17"/>
      <c r="AA5" s="17"/>
      <c r="AB5" s="17"/>
      <c r="AC5" s="17"/>
      <c r="AD5" s="17"/>
      <c r="AE5" s="17"/>
      <c r="AF5" s="17"/>
      <c r="AG5" s="17"/>
      <c r="AH5" s="17"/>
      <c r="AI5" s="78"/>
      <c r="AJ5" s="80"/>
      <c r="AK5" s="604"/>
      <c r="AL5" s="604"/>
      <c r="AM5" s="604"/>
      <c r="AN5" s="604"/>
      <c r="AO5" s="604"/>
      <c r="AP5" s="80"/>
      <c r="AQ5" s="80"/>
      <c r="AR5" s="80"/>
      <c r="AS5" s="80"/>
      <c r="AT5" s="80"/>
      <c r="AU5" s="80"/>
      <c r="AV5" s="80"/>
      <c r="AW5" s="80"/>
      <c r="AX5" s="80"/>
      <c r="AY5" s="80"/>
      <c r="AZ5" s="80"/>
      <c r="BA5" s="80"/>
    </row>
    <row r="6" spans="1:53" s="129" customFormat="1" x14ac:dyDescent="0.2">
      <c r="A6" s="128"/>
      <c r="B6" s="128"/>
      <c r="C6" s="128"/>
      <c r="D6" s="130"/>
      <c r="E6" s="552"/>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row>
    <row r="7" spans="1:53" s="75" customFormat="1" ht="71.25" x14ac:dyDescent="0.2">
      <c r="A7" s="95" t="s">
        <v>513</v>
      </c>
      <c r="B7" s="96" t="s">
        <v>514</v>
      </c>
      <c r="C7" s="96" t="s">
        <v>515</v>
      </c>
      <c r="D7" s="213" t="s">
        <v>674</v>
      </c>
      <c r="E7" s="539" t="s">
        <v>675</v>
      </c>
      <c r="F7" s="99" t="s">
        <v>0</v>
      </c>
      <c r="G7" s="99" t="s">
        <v>1</v>
      </c>
      <c r="H7" s="99" t="s">
        <v>195</v>
      </c>
      <c r="I7" s="99" t="s">
        <v>196</v>
      </c>
      <c r="J7" s="99" t="s">
        <v>197</v>
      </c>
      <c r="K7" s="99" t="s">
        <v>198</v>
      </c>
      <c r="L7" s="99" t="s">
        <v>199</v>
      </c>
      <c r="M7" s="99" t="s">
        <v>200</v>
      </c>
      <c r="N7" s="99" t="s">
        <v>201</v>
      </c>
      <c r="O7" s="99" t="s">
        <v>202</v>
      </c>
      <c r="P7" s="99" t="s">
        <v>203</v>
      </c>
      <c r="Q7" s="99" t="s">
        <v>204</v>
      </c>
      <c r="R7" s="99" t="s">
        <v>205</v>
      </c>
      <c r="S7" s="99" t="s">
        <v>206</v>
      </c>
      <c r="T7" s="99" t="s">
        <v>207</v>
      </c>
      <c r="U7" s="99" t="s">
        <v>208</v>
      </c>
      <c r="V7" s="99" t="s">
        <v>209</v>
      </c>
      <c r="W7" s="99" t="s">
        <v>210</v>
      </c>
      <c r="X7" s="99" t="s">
        <v>211</v>
      </c>
      <c r="Y7" s="99" t="s">
        <v>212</v>
      </c>
      <c r="Z7" s="99" t="s">
        <v>213</v>
      </c>
      <c r="AA7" s="99" t="s">
        <v>214</v>
      </c>
      <c r="AB7" s="99" t="s">
        <v>215</v>
      </c>
      <c r="AC7" s="99" t="s">
        <v>216</v>
      </c>
      <c r="AD7" s="99" t="s">
        <v>217</v>
      </c>
      <c r="AE7" s="99" t="s">
        <v>218</v>
      </c>
      <c r="AF7" s="99" t="s">
        <v>219</v>
      </c>
      <c r="AG7" s="99" t="s">
        <v>220</v>
      </c>
      <c r="AH7" s="100" t="s">
        <v>189</v>
      </c>
      <c r="AI7" s="89" t="s">
        <v>188</v>
      </c>
      <c r="AJ7" s="89" t="s">
        <v>147</v>
      </c>
      <c r="AK7" s="89" t="s">
        <v>148</v>
      </c>
      <c r="AL7" s="167" t="s">
        <v>346</v>
      </c>
      <c r="AM7" s="89" t="s">
        <v>149</v>
      </c>
      <c r="AN7" s="89" t="s">
        <v>150</v>
      </c>
      <c r="AO7" s="221" t="s">
        <v>229</v>
      </c>
      <c r="AP7" s="80"/>
      <c r="AQ7" s="80"/>
      <c r="AR7" s="80"/>
      <c r="AS7" s="80"/>
      <c r="AT7" s="80"/>
      <c r="AU7" s="80"/>
      <c r="AV7" s="80"/>
      <c r="AW7" s="80"/>
      <c r="AX7" s="80"/>
      <c r="AY7" s="80"/>
      <c r="AZ7" s="80"/>
      <c r="BA7" s="80"/>
    </row>
    <row r="8" spans="1:53" s="75" customFormat="1" ht="30" x14ac:dyDescent="0.25">
      <c r="A8" s="126"/>
      <c r="B8" s="126"/>
      <c r="C8" s="102" t="s">
        <v>230</v>
      </c>
      <c r="D8" s="101"/>
      <c r="E8" s="553"/>
      <c r="F8" s="103" t="s">
        <v>2</v>
      </c>
      <c r="G8" s="103" t="s">
        <v>3</v>
      </c>
      <c r="H8" s="103" t="s">
        <v>4</v>
      </c>
      <c r="I8" s="103" t="s">
        <v>5</v>
      </c>
      <c r="J8" s="103" t="s">
        <v>6</v>
      </c>
      <c r="K8" s="103" t="s">
        <v>7</v>
      </c>
      <c r="L8" s="103" t="s">
        <v>8</v>
      </c>
      <c r="M8" s="103" t="s">
        <v>9</v>
      </c>
      <c r="N8" s="103" t="s">
        <v>10</v>
      </c>
      <c r="O8" s="103" t="s">
        <v>11</v>
      </c>
      <c r="P8" s="103" t="s">
        <v>12</v>
      </c>
      <c r="Q8" s="103" t="s">
        <v>13</v>
      </c>
      <c r="R8" s="103" t="s">
        <v>14</v>
      </c>
      <c r="S8" s="103" t="s">
        <v>15</v>
      </c>
      <c r="T8" s="103" t="s">
        <v>16</v>
      </c>
      <c r="U8" s="103" t="s">
        <v>17</v>
      </c>
      <c r="V8" s="103" t="s">
        <v>18</v>
      </c>
      <c r="W8" s="103" t="s">
        <v>19</v>
      </c>
      <c r="X8" s="103" t="s">
        <v>20</v>
      </c>
      <c r="Y8" s="103" t="s">
        <v>21</v>
      </c>
      <c r="Z8" s="103" t="s">
        <v>22</v>
      </c>
      <c r="AA8" s="103" t="s">
        <v>23</v>
      </c>
      <c r="AB8" s="103" t="s">
        <v>24</v>
      </c>
      <c r="AC8" s="103" t="s">
        <v>25</v>
      </c>
      <c r="AD8" s="103" t="s">
        <v>26</v>
      </c>
      <c r="AE8" s="103" t="s">
        <v>27</v>
      </c>
      <c r="AF8" s="103" t="s">
        <v>28</v>
      </c>
      <c r="AG8" s="103" t="s">
        <v>29</v>
      </c>
      <c r="AH8" s="104"/>
      <c r="AI8" s="105"/>
      <c r="AJ8" s="105"/>
      <c r="AK8" s="106"/>
      <c r="AL8" s="168"/>
      <c r="AM8" s="106"/>
      <c r="AN8" s="106"/>
      <c r="AO8" s="134"/>
      <c r="AP8" s="108"/>
      <c r="AQ8" s="108"/>
      <c r="AR8" s="108"/>
      <c r="AS8" s="108"/>
      <c r="AT8" s="108"/>
      <c r="AU8" s="108"/>
      <c r="AV8" s="108"/>
      <c r="AW8" s="108"/>
      <c r="AX8" s="108"/>
      <c r="AY8" s="108"/>
      <c r="AZ8" s="108"/>
      <c r="BA8" s="108"/>
    </row>
    <row r="9" spans="1:53" s="75" customFormat="1" ht="29.25" x14ac:dyDescent="0.25">
      <c r="A9" s="110" t="s">
        <v>235</v>
      </c>
      <c r="B9" s="111" t="s">
        <v>698</v>
      </c>
      <c r="C9" s="112">
        <v>10</v>
      </c>
      <c r="D9" s="111" t="s">
        <v>670</v>
      </c>
      <c r="E9" s="555"/>
      <c r="F9" s="113" t="s">
        <v>149</v>
      </c>
      <c r="G9" s="113"/>
      <c r="H9" s="113"/>
      <c r="I9" s="113"/>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5"/>
      <c r="AI9" s="116">
        <f>IF(INDEX(TARIFF_TABLE[#All], MATCH($B9,TARIFF_TABLE[[#All],[Activity]],0),MATCH("ActivityType",TARIFF_TABLE[#Headers]))="Investigation",INDEX(TARIFF_TABLE[#All], MATCH($B9,TARIFF_TABLE[[#All],[Activity]],0),MATCH("Cost",TARIFF_TABLE[#Headers],0)),INDEX(Staff_Costs[#All],MATCH('Per-Participant Activities Arm3'!D9,Staff_Costs[[#All],[Role]],0),MATCH("Per-minute cost",Staff_Costs[#Headers],0))*'Per-Participant Activities Arm3'!C9)</f>
        <v>14.7</v>
      </c>
      <c r="AJ9" s="117">
        <f>COUNTIF($F9:$AH9, AJ$7)*$AI9</f>
        <v>0</v>
      </c>
      <c r="AK9" s="117">
        <f>COUNTIF($F9:$AH9, AK$7)*$AI9</f>
        <v>0</v>
      </c>
      <c r="AL9" s="117">
        <f>COUNTIF($F9:$AH9, AL$7)*$AI9</f>
        <v>0</v>
      </c>
      <c r="AM9" s="117">
        <f>COUNTIF($F9:$AH9, AM$7)*$AI9</f>
        <v>14.7</v>
      </c>
      <c r="AN9" s="117">
        <f>COUNTIF($F9:$AH9, AN$7)*$AI9</f>
        <v>0</v>
      </c>
      <c r="AO9" s="220" t="str">
        <f t="shared" ref="AO9:AO40" si="0">INDEX(Tariff_Activity_Type,MATCH(B9,Tariff_Activity,0))</f>
        <v>Procedure</v>
      </c>
      <c r="AP9" s="80"/>
      <c r="AQ9" s="80"/>
      <c r="AR9" s="80"/>
      <c r="AS9" s="80"/>
      <c r="AT9" s="80"/>
      <c r="AU9" s="80"/>
      <c r="AV9" s="80"/>
      <c r="AW9" s="80"/>
      <c r="AX9" s="80"/>
      <c r="AY9" s="80"/>
      <c r="AZ9" s="80"/>
      <c r="BA9" s="80"/>
    </row>
    <row r="10" spans="1:53" s="75" customFormat="1" x14ac:dyDescent="0.25">
      <c r="A10" s="110" t="s">
        <v>228</v>
      </c>
      <c r="B10" s="111" t="s">
        <v>43</v>
      </c>
      <c r="C10" s="112">
        <v>1</v>
      </c>
      <c r="D10" s="111" t="s">
        <v>669</v>
      </c>
      <c r="E10" s="555"/>
      <c r="F10" s="113" t="s">
        <v>346</v>
      </c>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f>IF(INDEX(TARIFF_TABLE[#All], MATCH($B10,TARIFF_TABLE[[#All],[Activity]],0),MATCH("ActivityType",TARIFF_TABLE[#Headers]))="Investigation",INDEX(TARIFF_TABLE[#All], MATCH($B10,TARIFF_TABLE[[#All],[Activity]],0),MATCH("Cost",TARIFF_TABLE[#Headers],0)),INDEX(Staff_Costs[#All],MATCH('Per-Participant Activities Arm3'!D10,Staff_Costs[[#All],[Role]],0),MATCH("Per-minute cost",Staff_Costs[#Headers],0))*'Per-Participant Activities Arm3'!C10)</f>
        <v>0.35</v>
      </c>
      <c r="AJ10" s="117">
        <f t="shared" ref="AJ10:AN41" si="1">COUNTIF($F10:$AH10, AJ$7)*$AI10</f>
        <v>0</v>
      </c>
      <c r="AK10" s="117">
        <f t="shared" si="1"/>
        <v>0</v>
      </c>
      <c r="AL10" s="117">
        <f t="shared" si="1"/>
        <v>0.35</v>
      </c>
      <c r="AM10" s="117">
        <f t="shared" si="1"/>
        <v>0</v>
      </c>
      <c r="AN10" s="117">
        <f t="shared" si="1"/>
        <v>0</v>
      </c>
      <c r="AO10" s="107" t="str">
        <f t="shared" si="0"/>
        <v>Procedure</v>
      </c>
      <c r="AP10" s="80"/>
      <c r="AQ10" s="80"/>
      <c r="AR10" s="80"/>
      <c r="AS10" s="80"/>
      <c r="AT10" s="80"/>
      <c r="AU10" s="80"/>
      <c r="AV10" s="80"/>
      <c r="AW10" s="80"/>
      <c r="AX10" s="80"/>
      <c r="AY10" s="80"/>
      <c r="AZ10" s="80"/>
      <c r="BA10" s="80"/>
    </row>
    <row r="11" spans="1:53" s="75" customFormat="1" x14ac:dyDescent="0.25">
      <c r="A11" s="110" t="s">
        <v>101</v>
      </c>
      <c r="B11" s="118" t="s">
        <v>178</v>
      </c>
      <c r="C11" s="112">
        <v>5</v>
      </c>
      <c r="D11" s="118" t="s">
        <v>670</v>
      </c>
      <c r="E11" s="555"/>
      <c r="F11" s="113" t="s">
        <v>150</v>
      </c>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f>IF(INDEX(TARIFF_TABLE[#All], MATCH($B11,TARIFF_TABLE[[#All],[Activity]],0),MATCH("ActivityType",TARIFF_TABLE[#Headers]))="Investigation",INDEX(TARIFF_TABLE[#All], MATCH($B11,TARIFF_TABLE[[#All],[Activity]],0),MATCH("Cost",TARIFF_TABLE[#Headers],0)),INDEX(Staff_Costs[#All],MATCH('Per-Participant Activities Arm3'!D11,Staff_Costs[[#All],[Role]],0),MATCH("Per-minute cost",Staff_Costs[#Headers],0))*'Per-Participant Activities Arm3'!C11)</f>
        <v>7.35</v>
      </c>
      <c r="AJ11" s="117">
        <f t="shared" si="1"/>
        <v>0</v>
      </c>
      <c r="AK11" s="117">
        <f t="shared" si="1"/>
        <v>0</v>
      </c>
      <c r="AL11" s="117">
        <f t="shared" si="1"/>
        <v>0</v>
      </c>
      <c r="AM11" s="117">
        <f t="shared" si="1"/>
        <v>0</v>
      </c>
      <c r="AN11" s="117">
        <f t="shared" si="1"/>
        <v>7.35</v>
      </c>
      <c r="AO11" s="107" t="str">
        <f t="shared" si="0"/>
        <v>Procedure</v>
      </c>
      <c r="AP11" s="80"/>
      <c r="AQ11" s="80"/>
      <c r="AR11" s="80"/>
      <c r="AS11" s="80"/>
      <c r="AT11" s="80"/>
      <c r="AU11" s="80"/>
      <c r="AV11" s="80"/>
      <c r="AW11" s="80"/>
      <c r="AX11" s="80"/>
      <c r="AY11" s="80"/>
      <c r="AZ11" s="80"/>
      <c r="BA11" s="80"/>
    </row>
    <row r="12" spans="1:53" s="75" customFormat="1" x14ac:dyDescent="0.25">
      <c r="A12" s="110"/>
      <c r="B12" s="118"/>
      <c r="C12" s="112"/>
      <c r="D12" s="118"/>
      <c r="E12" s="55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Arm3'!D12,Staff_Costs[[#All],[Role]],0),MATCH("Per-minute cost",Staff_Costs[#Headers],0))*'Per-Participant Activities Arm3'!C12)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Arm3'!D13,Staff_Costs[[#All],[Role]],0),MATCH("Per-minute cost",Staff_Costs[#Headers],0))*'Per-Participant Activities Arm3'!C13)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Arm3'!D14,Staff_Costs[[#All],[Role]],0),MATCH("Per-minute cost",Staff_Costs[#Headers],0))*'Per-Participant Activities Arm3'!C14)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Arm3'!D15,Staff_Costs[[#All],[Role]],0),MATCH("Per-minute cost",Staff_Costs[#Headers],0))*'Per-Participant Activities Arm3'!C15)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Arm3'!D16,Staff_Costs[[#All],[Role]],0),MATCH("Per-minute cost",Staff_Costs[#Headers],0))*'Per-Participant Activities Arm3'!C16)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Arm3'!D17,Staff_Costs[[#All],[Role]],0),MATCH("Per-minute cost",Staff_Costs[#Headers],0))*'Per-Participant Activities Arm3'!C17)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1"/>
      <c r="C18" s="112"/>
      <c r="D18" s="111"/>
      <c r="E18" s="555"/>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Arm3'!D18,Staff_Costs[[#All],[Role]],0),MATCH("Per-minute cost",Staff_Costs[#Headers],0))*'Per-Participant Activities Arm3'!C18)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Arm3'!D19,Staff_Costs[[#All],[Role]],0),MATCH("Per-minute cost",Staff_Costs[#Headers],0))*'Per-Participant Activities Arm3'!C19)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Arm3'!D20,Staff_Costs[[#All],[Role]],0),MATCH("Per-minute cost",Staff_Costs[#Headers],0))*'Per-Participant Activities Arm3'!C20)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Arm3'!D21,Staff_Costs[[#All],[Role]],0),MATCH("Per-minute cost",Staff_Costs[#Headers],0))*'Per-Participant Activities Arm3'!C21)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Arm3'!D22,Staff_Costs[[#All],[Role]],0),MATCH("Per-minute cost",Staff_Costs[#Headers],0))*'Per-Participant Activities Arm3'!C22)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Arm3'!D23,Staff_Costs[[#All],[Role]],0),MATCH("Per-minute cost",Staff_Costs[#Headers],0))*'Per-Participant Activities Arm3'!C23)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Arm3'!D24,Staff_Costs[[#All],[Role]],0),MATCH("Per-minute cost",Staff_Costs[#Headers],0))*'Per-Participant Activities Arm3'!C24)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Arm3'!D25,Staff_Costs[[#All],[Role]],0),MATCH("Per-minute cost",Staff_Costs[#Headers],0))*'Per-Participant Activities Arm3'!C25)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Arm3'!D26,Staff_Costs[[#All],[Role]],0),MATCH("Per-minute cost",Staff_Costs[#Headers],0))*'Per-Participant Activities Arm3'!C26)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Arm3'!D27,Staff_Costs[[#All],[Role]],0),MATCH("Per-minute cost",Staff_Costs[#Headers],0))*'Per-Participant Activities Arm3'!C27)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Arm3'!D28,Staff_Costs[[#All],[Role]],0),MATCH("Per-minute cost",Staff_Costs[#Headers],0))*'Per-Participant Activities Arm3'!C28)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Arm3'!D29,Staff_Costs[[#All],[Role]],0),MATCH("Per-minute cost",Staff_Costs[#Headers],0))*'Per-Participant Activities Arm3'!C29)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Arm3'!D30,Staff_Costs[[#All],[Role]],0),MATCH("Per-minute cost",Staff_Costs[#Headers],0))*'Per-Participant Activities Arm3'!C30)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Arm3'!D31,Staff_Costs[[#All],[Role]],0),MATCH("Per-minute cost",Staff_Costs[#Headers],0))*'Per-Participant Activities Arm3'!C31)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Arm3'!D32,Staff_Costs[[#All],[Role]],0),MATCH("Per-minute cost",Staff_Costs[#Headers],0))*'Per-Participant Activities Arm3'!C32)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Arm3'!D33,Staff_Costs[[#All],[Role]],0),MATCH("Per-minute cost",Staff_Costs[#Headers],0))*'Per-Participant Activities Arm3'!C33)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Arm3'!D34,Staff_Costs[[#All],[Role]],0),MATCH("Per-minute cost",Staff_Costs[#Headers],0))*'Per-Participant Activities Arm3'!C34)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Arm3'!D35,Staff_Costs[[#All],[Role]],0),MATCH("Per-minute cost",Staff_Costs[#Headers],0))*'Per-Participant Activities Arm3'!C35)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Arm3'!D36,Staff_Costs[[#All],[Role]],0),MATCH("Per-minute cost",Staff_Costs[#Headers],0))*'Per-Participant Activities Arm3'!C36)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Arm3'!D37,Staff_Costs[[#All],[Role]],0),MATCH("Per-minute cost",Staff_Costs[#Headers],0))*'Per-Participant Activities Arm3'!C37)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Arm3'!D38,Staff_Costs[[#All],[Role]],0),MATCH("Per-minute cost",Staff_Costs[#Headers],0))*'Per-Participant Activities Arm3'!C38)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Arm3'!D39,Staff_Costs[[#All],[Role]],0),MATCH("Per-minute cost",Staff_Costs[#Headers],0))*'Per-Participant Activities Arm3'!C39)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Arm3'!D40,Staff_Costs[[#All],[Role]],0),MATCH("Per-minute cost",Staff_Costs[#Headers],0))*'Per-Participant Activities Arm3'!C40)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Arm3'!D41,Staff_Costs[[#All],[Role]],0),MATCH("Per-minute cost",Staff_Costs[#Headers],0))*'Per-Participant Activities Arm3'!C41)</f>
        <v>#N/A</v>
      </c>
      <c r="AJ41" s="117" t="e">
        <f t="shared" si="1"/>
        <v>#N/A</v>
      </c>
      <c r="AK41" s="117" t="e">
        <f t="shared" si="1"/>
        <v>#N/A</v>
      </c>
      <c r="AL41" s="117" t="e">
        <f t="shared" si="1"/>
        <v>#N/A</v>
      </c>
      <c r="AM41" s="117" t="e">
        <f t="shared" si="1"/>
        <v>#N/A</v>
      </c>
      <c r="AN41" s="117" t="e">
        <f t="shared" si="1"/>
        <v>#N/A</v>
      </c>
      <c r="AO41" s="107" t="e">
        <f t="shared" ref="AO41:AO63" si="2">INDEX(Tariff_Activity_Type,MATCH(B41,Tariff_Activity,0))</f>
        <v>#N/A</v>
      </c>
      <c r="AP41" s="80"/>
      <c r="AQ41" s="80"/>
      <c r="AR41" s="80"/>
      <c r="AS41" s="80"/>
      <c r="AT41" s="80"/>
      <c r="AU41" s="80"/>
      <c r="AV41" s="80"/>
      <c r="AW41" s="80"/>
      <c r="AX41" s="80"/>
      <c r="AY41" s="80"/>
      <c r="AZ41" s="80"/>
      <c r="BA41" s="80"/>
    </row>
    <row r="42" spans="1:53" s="75" customFormat="1" x14ac:dyDescent="0.25">
      <c r="A42" s="110"/>
      <c r="B42" s="111"/>
      <c r="C42" s="112"/>
      <c r="D42" s="111"/>
      <c r="E42" s="55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Arm3'!D42,Staff_Costs[[#All],[Role]],0),MATCH("Per-minute cost",Staff_Costs[#Headers],0))*'Per-Participant Activities Arm3'!C42)</f>
        <v>#N/A</v>
      </c>
      <c r="AJ42" s="117" t="e">
        <f t="shared" ref="AJ42:AN63" si="3">COUNTIF($F42:$AH42, AJ$7)*$AI42</f>
        <v>#N/A</v>
      </c>
      <c r="AK42" s="117" t="e">
        <f t="shared" si="3"/>
        <v>#N/A</v>
      </c>
      <c r="AL42" s="117" t="e">
        <f t="shared" si="3"/>
        <v>#N/A</v>
      </c>
      <c r="AM42" s="117" t="e">
        <f t="shared" si="3"/>
        <v>#N/A</v>
      </c>
      <c r="AN42" s="117" t="e">
        <f t="shared" si="3"/>
        <v>#N/A</v>
      </c>
      <c r="AO42" s="107" t="e">
        <f t="shared" si="2"/>
        <v>#N/A</v>
      </c>
      <c r="AP42" s="80"/>
      <c r="AQ42" s="80"/>
      <c r="AR42" s="80"/>
      <c r="AS42" s="80"/>
      <c r="AT42" s="80"/>
      <c r="AU42" s="80"/>
      <c r="AV42" s="80"/>
      <c r="AW42" s="80"/>
      <c r="AX42" s="80"/>
      <c r="AY42" s="80"/>
      <c r="AZ42" s="80"/>
      <c r="BA42" s="80"/>
    </row>
    <row r="43" spans="1:53" s="75" customFormat="1" x14ac:dyDescent="0.25">
      <c r="A43" s="110"/>
      <c r="B43" s="111"/>
      <c r="C43" s="112"/>
      <c r="D43" s="111"/>
      <c r="E43" s="55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Arm3'!D43,Staff_Costs[[#All],[Role]],0),MATCH("Per-minute cost",Staff_Costs[#Headers],0))*'Per-Participant Activities Arm3'!C43)</f>
        <v>#N/A</v>
      </c>
      <c r="AJ43" s="117" t="e">
        <f t="shared" si="3"/>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Arm3'!D44,Staff_Costs[[#All],[Role]],0),MATCH("Per-minute cost",Staff_Costs[#Headers],0))*'Per-Participant Activities Arm3'!C44)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Arm3'!D45,Staff_Costs[[#All],[Role]],0),MATCH("Per-minute cost",Staff_Costs[#Headers],0))*'Per-Participant Activities Arm3'!C45)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Arm3'!D46,Staff_Costs[[#All],[Role]],0),MATCH("Per-minute cost",Staff_Costs[#Headers],0))*'Per-Participant Activities Arm3'!C46)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Arm3'!D47,Staff_Costs[[#All],[Role]],0),MATCH("Per-minute cost",Staff_Costs[#Headers],0))*'Per-Participant Activities Arm3'!C47)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Arm3'!D48,Staff_Costs[[#All],[Role]],0),MATCH("Per-minute cost",Staff_Costs[#Headers],0))*'Per-Participant Activities Arm3'!C48)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Arm3'!D49,Staff_Costs[[#All],[Role]],0),MATCH("Per-minute cost",Staff_Costs[#Headers],0))*'Per-Participant Activities Arm3'!C49)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Arm3'!D50,Staff_Costs[[#All],[Role]],0),MATCH("Per-minute cost",Staff_Costs[#Headers],0))*'Per-Participant Activities Arm3'!C50)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Arm3'!D51,Staff_Costs[[#All],[Role]],0),MATCH("Per-minute cost",Staff_Costs[#Headers],0))*'Per-Participant Activities Arm3'!C51)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Arm3'!D52,Staff_Costs[[#All],[Role]],0),MATCH("Per-minute cost",Staff_Costs[#Headers],0))*'Per-Participant Activities Arm3'!C52)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Arm3'!D53,Staff_Costs[[#All],[Role]],0),MATCH("Per-minute cost",Staff_Costs[#Headers],0))*'Per-Participant Activities Arm3'!C53)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Arm3'!D54,Staff_Costs[[#All],[Role]],0),MATCH("Per-minute cost",Staff_Costs[#Headers],0))*'Per-Participant Activities Arm3'!C54)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Arm3'!D55,Staff_Costs[[#All],[Role]],0),MATCH("Per-minute cost",Staff_Costs[#Headers],0))*'Per-Participant Activities Arm3'!C55)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Arm3'!D56,Staff_Costs[[#All],[Role]],0),MATCH("Per-minute cost",Staff_Costs[#Headers],0))*'Per-Participant Activities Arm3'!C56)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Arm3'!D57,Staff_Costs[[#All],[Role]],0),MATCH("Per-minute cost",Staff_Costs[#Headers],0))*'Per-Participant Activities Arm3'!C57)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Arm3'!D58,Staff_Costs[[#All],[Role]],0),MATCH("Per-minute cost",Staff_Costs[#Headers],0))*'Per-Participant Activities Arm3'!C58)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Arm3'!D59,Staff_Costs[[#All],[Role]],0),MATCH("Per-minute cost",Staff_Costs[#Headers],0))*'Per-Participant Activities Arm3'!C59)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Arm3'!D60,Staff_Costs[[#All],[Role]],0),MATCH("Per-minute cost",Staff_Costs[#Headers],0))*'Per-Participant Activities Arm3'!C60)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Arm3'!D61,Staff_Costs[[#All],[Role]],0),MATCH("Per-minute cost",Staff_Costs[#Headers],0))*'Per-Participant Activities Arm3'!C61)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Arm3'!D62,Staff_Costs[[#All],[Role]],0),MATCH("Per-minute cost",Staff_Costs[#Headers],0))*'Per-Participant Activities Arm3'!C62)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20"/>
      <c r="B63" s="118"/>
      <c r="C63" s="112"/>
      <c r="D63" s="118"/>
      <c r="E63" s="555"/>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15"/>
      <c r="AI63" s="116" t="e">
        <f>IF(INDEX(TARIFF_TABLE[#All], MATCH($B63,TARIFF_TABLE[[#All],[Activity]],0),MATCH("ActivityType",TARIFF_TABLE[#Headers]))="Investigation",INDEX(TARIFF_TABLE[#All], MATCH($B63,TARIFF_TABLE[[#All],[Activity]],0),MATCH("Cost",TARIFF_TABLE[#Headers],0)),INDEX(Staff_Costs[#All],MATCH('Per-Participant Activities Arm3'!D63,Staff_Costs[[#All],[Role]],0),MATCH("Per-minute cost",Staff_Costs[#Headers],0))*'Per-Participant Activities Arm3'!C63)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8"/>
      <c r="C64" s="112"/>
      <c r="D64" s="118"/>
      <c r="E64" s="555"/>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Arm3'!D64,Staff_Costs[[#All],[Role]],0),MATCH("Per-minute cost",Staff_Costs[#Headers],0))*'Per-Participant Activities Arm3'!C64)</f>
        <v>#N/A</v>
      </c>
      <c r="AJ64" s="117" t="e">
        <f t="shared" ref="AJ64:AJ110" si="4">COUNTIF($F64:$AG64, AJ$7)*$AI64</f>
        <v>#N/A</v>
      </c>
      <c r="AK64" s="117" t="e">
        <f t="shared" ref="AK64:AK110" si="5">COUNTIF($F64:$AG64, AK$7)*$AI64</f>
        <v>#N/A</v>
      </c>
      <c r="AL64" s="117" t="e">
        <f t="shared" ref="AL64:AL110" si="6">COUNTIF($F64:$AG64, AL$7)*$AI64</f>
        <v>#N/A</v>
      </c>
      <c r="AM64" s="117" t="e">
        <f t="shared" ref="AM64:AM110" si="7">COUNTIF($F64:$AG64, AM$7)*$AI64</f>
        <v>#N/A</v>
      </c>
      <c r="AN64" s="117" t="e">
        <f t="shared" ref="AN64:AN110" si="8">COUNTIF($F64:$AG64, AN$7)*$AI64</f>
        <v>#N/A</v>
      </c>
      <c r="AO64" s="107" t="e">
        <f>INDEX('Tariff (hidden)'!$B$4:$B$133,MATCH(B64,'Tariff (hidden)'!$A$4:$A$133,0))</f>
        <v>#N/A</v>
      </c>
      <c r="AP64" s="80"/>
      <c r="AQ64" s="80"/>
      <c r="AR64" s="80"/>
      <c r="AS64" s="80"/>
      <c r="AT64" s="80"/>
      <c r="AU64" s="80"/>
      <c r="AV64" s="80"/>
      <c r="AW64" s="80"/>
      <c r="AX64" s="80"/>
      <c r="AY64" s="80"/>
      <c r="AZ64" s="80"/>
      <c r="BA64" s="80"/>
    </row>
    <row r="65" spans="1:53" s="75" customFormat="1" x14ac:dyDescent="0.25">
      <c r="A65" s="120"/>
      <c r="B65" s="118"/>
      <c r="C65" s="112"/>
      <c r="D65" s="118"/>
      <c r="E65" s="555"/>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Arm3'!D65,Staff_Costs[[#All],[Role]],0),MATCH("Per-minute cost",Staff_Costs[#Headers],0))*'Per-Participant Activities Arm3'!C65)</f>
        <v>#N/A</v>
      </c>
      <c r="AJ65" s="117" t="e">
        <f t="shared" si="4"/>
        <v>#N/A</v>
      </c>
      <c r="AK65" s="117" t="e">
        <f t="shared" si="5"/>
        <v>#N/A</v>
      </c>
      <c r="AL65" s="117" t="e">
        <f t="shared" si="6"/>
        <v>#N/A</v>
      </c>
      <c r="AM65" s="117" t="e">
        <f t="shared" si="7"/>
        <v>#N/A</v>
      </c>
      <c r="AN65" s="117" t="e">
        <f t="shared" si="8"/>
        <v>#N/A</v>
      </c>
      <c r="AO65" s="107" t="e">
        <f>INDEX('Tariff (hidden)'!$B$4:$B$133,MATCH(B65,'Tariff (hidden)'!$A$4:$A$133,0))</f>
        <v>#N/A</v>
      </c>
      <c r="AP65" s="80"/>
      <c r="AQ65" s="80"/>
      <c r="AR65" s="80"/>
      <c r="AS65" s="80"/>
      <c r="AT65" s="80"/>
      <c r="AU65" s="80"/>
      <c r="AV65" s="80"/>
      <c r="AW65" s="80"/>
      <c r="AX65" s="80"/>
      <c r="AY65" s="80"/>
      <c r="AZ65" s="80"/>
      <c r="BA65" s="80"/>
    </row>
    <row r="66" spans="1:53" s="75" customFormat="1" x14ac:dyDescent="0.25">
      <c r="A66" s="120"/>
      <c r="B66" s="118"/>
      <c r="C66" s="112"/>
      <c r="D66" s="118"/>
      <c r="E66" s="555"/>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Arm3'!D66,Staff_Costs[[#All],[Role]],0),MATCH("Per-minute cost",Staff_Costs[#Headers],0))*'Per-Participant Activities Arm3'!C66)</f>
        <v>#N/A</v>
      </c>
      <c r="AJ66" s="117" t="e">
        <f t="shared" si="4"/>
        <v>#N/A</v>
      </c>
      <c r="AK66" s="117" t="e">
        <f t="shared" si="5"/>
        <v>#N/A</v>
      </c>
      <c r="AL66" s="117" t="e">
        <f t="shared" si="6"/>
        <v>#N/A</v>
      </c>
      <c r="AM66" s="117" t="e">
        <f t="shared" si="7"/>
        <v>#N/A</v>
      </c>
      <c r="AN66" s="117" t="e">
        <f t="shared" si="8"/>
        <v>#N/A</v>
      </c>
      <c r="AO66" s="107" t="e">
        <f>INDEX('Tariff (hidden)'!$B$4:$B$133,MATCH(B66,'Tariff (hidden)'!$A$4:$A$133,0))</f>
        <v>#N/A</v>
      </c>
      <c r="AP66" s="80"/>
      <c r="AQ66" s="80"/>
      <c r="AR66" s="80"/>
      <c r="AS66" s="80"/>
      <c r="AT66" s="80"/>
      <c r="AU66" s="80"/>
      <c r="AV66" s="80"/>
      <c r="AW66" s="80"/>
      <c r="AX66" s="80"/>
      <c r="AY66" s="80"/>
      <c r="AZ66" s="80"/>
      <c r="BA66" s="80"/>
    </row>
    <row r="67" spans="1:53" s="75" customFormat="1" x14ac:dyDescent="0.25">
      <c r="A67" s="120"/>
      <c r="B67" s="118"/>
      <c r="C67" s="112"/>
      <c r="D67" s="118"/>
      <c r="E67" s="555"/>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Arm3'!D67,Staff_Costs[[#All],[Role]],0),MATCH("Per-minute cost",Staff_Costs[#Headers],0))*'Per-Participant Activities Arm3'!C67)</f>
        <v>#N/A</v>
      </c>
      <c r="AJ67" s="117" t="e">
        <f t="shared" si="4"/>
        <v>#N/A</v>
      </c>
      <c r="AK67" s="117" t="e">
        <f t="shared" si="5"/>
        <v>#N/A</v>
      </c>
      <c r="AL67" s="117" t="e">
        <f t="shared" si="6"/>
        <v>#N/A</v>
      </c>
      <c r="AM67" s="117" t="e">
        <f t="shared" si="7"/>
        <v>#N/A</v>
      </c>
      <c r="AN67" s="117" t="e">
        <f t="shared" si="8"/>
        <v>#N/A</v>
      </c>
      <c r="AO67" s="107" t="e">
        <f>INDEX('Tariff (hidden)'!$B$4:$B$133,MATCH(B67,'Tariff (hidden)'!$A$4:$A$133,0))</f>
        <v>#N/A</v>
      </c>
      <c r="AP67" s="80"/>
      <c r="AQ67" s="80"/>
      <c r="AR67" s="80"/>
      <c r="AS67" s="80"/>
      <c r="AT67" s="80"/>
      <c r="AU67" s="80"/>
      <c r="AV67" s="80"/>
      <c r="AW67" s="80"/>
      <c r="AX67" s="80"/>
      <c r="AY67" s="80"/>
      <c r="AZ67" s="80"/>
      <c r="BA67" s="80"/>
    </row>
    <row r="68" spans="1:53" s="75" customFormat="1" x14ac:dyDescent="0.25">
      <c r="A68" s="120"/>
      <c r="B68" s="118"/>
      <c r="C68" s="112"/>
      <c r="D68" s="118"/>
      <c r="E68" s="555"/>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Arm3'!D68,Staff_Costs[[#All],[Role]],0),MATCH("Per-minute cost",Staff_Costs[#Headers],0))*'Per-Participant Activities Arm3'!C68)</f>
        <v>#N/A</v>
      </c>
      <c r="AJ68" s="117" t="e">
        <f t="shared" si="4"/>
        <v>#N/A</v>
      </c>
      <c r="AK68" s="117" t="e">
        <f t="shared" si="5"/>
        <v>#N/A</v>
      </c>
      <c r="AL68" s="117" t="e">
        <f t="shared" si="6"/>
        <v>#N/A</v>
      </c>
      <c r="AM68" s="117" t="e">
        <f t="shared" si="7"/>
        <v>#N/A</v>
      </c>
      <c r="AN68" s="117" t="e">
        <f t="shared" si="8"/>
        <v>#N/A</v>
      </c>
      <c r="AO68" s="107" t="e">
        <f>INDEX('Tariff (hidden)'!$B$4:$B$133,MATCH(B68,'Tariff (hidden)'!$A$4:$A$133,0))</f>
        <v>#N/A</v>
      </c>
      <c r="AP68" s="80"/>
      <c r="AQ68" s="80"/>
      <c r="AR68" s="80"/>
      <c r="AS68" s="80"/>
      <c r="AT68" s="80"/>
      <c r="AU68" s="80"/>
      <c r="AV68" s="80"/>
      <c r="AW68" s="80"/>
      <c r="AX68" s="80"/>
      <c r="AY68" s="80"/>
      <c r="AZ68" s="80"/>
      <c r="BA68" s="80"/>
    </row>
    <row r="69" spans="1:53" s="75" customFormat="1" x14ac:dyDescent="0.25">
      <c r="A69" s="120"/>
      <c r="B69" s="118"/>
      <c r="C69" s="112"/>
      <c r="D69" s="118"/>
      <c r="E69" s="555"/>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Arm3'!D69,Staff_Costs[[#All],[Role]],0),MATCH("Per-minute cost",Staff_Costs[#Headers],0))*'Per-Participant Activities Arm3'!C69)</f>
        <v>#N/A</v>
      </c>
      <c r="AJ69" s="117" t="e">
        <f t="shared" si="4"/>
        <v>#N/A</v>
      </c>
      <c r="AK69" s="117" t="e">
        <f t="shared" si="5"/>
        <v>#N/A</v>
      </c>
      <c r="AL69" s="117" t="e">
        <f t="shared" si="6"/>
        <v>#N/A</v>
      </c>
      <c r="AM69" s="117" t="e">
        <f t="shared" si="7"/>
        <v>#N/A</v>
      </c>
      <c r="AN69" s="117" t="e">
        <f t="shared" si="8"/>
        <v>#N/A</v>
      </c>
      <c r="AO69" s="107" t="e">
        <f>INDEX('Tariff (hidden)'!$B$4:$B$133,MATCH(B69,'Tariff (hidden)'!$A$4:$A$133,0))</f>
        <v>#N/A</v>
      </c>
      <c r="AP69" s="80"/>
      <c r="AQ69" s="80"/>
      <c r="AR69" s="80"/>
      <c r="AS69" s="80"/>
      <c r="AT69" s="80"/>
      <c r="AU69" s="80"/>
      <c r="AV69" s="80"/>
      <c r="AW69" s="80"/>
      <c r="AX69" s="80"/>
      <c r="AY69" s="80"/>
      <c r="AZ69" s="80"/>
      <c r="BA69" s="80"/>
    </row>
    <row r="70" spans="1:53" s="75" customFormat="1" x14ac:dyDescent="0.25">
      <c r="A70" s="120"/>
      <c r="B70" s="118"/>
      <c r="C70" s="112"/>
      <c r="D70" s="118"/>
      <c r="E70" s="555"/>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Arm3'!D70,Staff_Costs[[#All],[Role]],0),MATCH("Per-minute cost",Staff_Costs[#Headers],0))*'Per-Participant Activities Arm3'!C70)</f>
        <v>#N/A</v>
      </c>
      <c r="AJ70" s="117" t="e">
        <f t="shared" si="4"/>
        <v>#N/A</v>
      </c>
      <c r="AK70" s="117" t="e">
        <f t="shared" si="5"/>
        <v>#N/A</v>
      </c>
      <c r="AL70" s="117" t="e">
        <f t="shared" si="6"/>
        <v>#N/A</v>
      </c>
      <c r="AM70" s="117" t="e">
        <f t="shared" si="7"/>
        <v>#N/A</v>
      </c>
      <c r="AN70" s="117" t="e">
        <f t="shared" si="8"/>
        <v>#N/A</v>
      </c>
      <c r="AO70" s="107" t="e">
        <f>INDEX('Tariff (hidden)'!$B$4:$B$133,MATCH(B70,'Tariff (hidden)'!$A$4:$A$133,0))</f>
        <v>#N/A</v>
      </c>
      <c r="AP70" s="80"/>
      <c r="AQ70" s="80"/>
      <c r="AR70" s="80"/>
      <c r="AS70" s="80"/>
      <c r="AT70" s="80"/>
      <c r="AU70" s="80"/>
      <c r="AV70" s="80"/>
      <c r="AW70" s="80"/>
      <c r="AX70" s="80"/>
      <c r="AY70" s="80"/>
      <c r="AZ70" s="80"/>
      <c r="BA70" s="80"/>
    </row>
    <row r="71" spans="1:53" s="75" customFormat="1" x14ac:dyDescent="0.25">
      <c r="A71" s="120"/>
      <c r="B71" s="118"/>
      <c r="C71" s="112"/>
      <c r="D71" s="118"/>
      <c r="E71" s="555"/>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Arm3'!D71,Staff_Costs[[#All],[Role]],0),MATCH("Per-minute cost",Staff_Costs[#Headers],0))*'Per-Participant Activities Arm3'!C71)</f>
        <v>#N/A</v>
      </c>
      <c r="AJ71" s="117" t="e">
        <f t="shared" si="4"/>
        <v>#N/A</v>
      </c>
      <c r="AK71" s="117" t="e">
        <f t="shared" si="5"/>
        <v>#N/A</v>
      </c>
      <c r="AL71" s="117" t="e">
        <f t="shared" si="6"/>
        <v>#N/A</v>
      </c>
      <c r="AM71" s="117" t="e">
        <f t="shared" si="7"/>
        <v>#N/A</v>
      </c>
      <c r="AN71" s="117" t="e">
        <f t="shared" si="8"/>
        <v>#N/A</v>
      </c>
      <c r="AO71" s="107" t="e">
        <f>INDEX('Tariff (hidden)'!$B$4:$B$133,MATCH(B71,'Tariff (hidden)'!$A$4:$A$133,0))</f>
        <v>#N/A</v>
      </c>
      <c r="AP71" s="80"/>
      <c r="AQ71" s="80"/>
      <c r="AR71" s="80"/>
      <c r="AS71" s="80"/>
      <c r="AT71" s="80"/>
      <c r="AU71" s="80"/>
      <c r="AV71" s="80"/>
      <c r="AW71" s="80"/>
      <c r="AX71" s="80"/>
      <c r="AY71" s="80"/>
      <c r="AZ71" s="80"/>
      <c r="BA71" s="80"/>
    </row>
    <row r="72" spans="1:53" s="75" customFormat="1" x14ac:dyDescent="0.25">
      <c r="A72" s="120"/>
      <c r="B72" s="118"/>
      <c r="C72" s="112"/>
      <c r="D72" s="118"/>
      <c r="E72" s="555"/>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Arm3'!D72,Staff_Costs[[#All],[Role]],0),MATCH("Per-minute cost",Staff_Costs[#Headers],0))*'Per-Participant Activities Arm3'!C72)</f>
        <v>#N/A</v>
      </c>
      <c r="AJ72" s="117" t="e">
        <f t="shared" si="4"/>
        <v>#N/A</v>
      </c>
      <c r="AK72" s="117" t="e">
        <f t="shared" si="5"/>
        <v>#N/A</v>
      </c>
      <c r="AL72" s="117" t="e">
        <f t="shared" si="6"/>
        <v>#N/A</v>
      </c>
      <c r="AM72" s="117" t="e">
        <f t="shared" si="7"/>
        <v>#N/A</v>
      </c>
      <c r="AN72" s="117" t="e">
        <f t="shared" si="8"/>
        <v>#N/A</v>
      </c>
      <c r="AO72" s="107" t="e">
        <f>INDEX('Tariff (hidden)'!$B$4:$B$133,MATCH(B72,'Tariff (hidden)'!$A$4:$A$133,0))</f>
        <v>#N/A</v>
      </c>
      <c r="AP72" s="80"/>
      <c r="AQ72" s="80"/>
      <c r="AR72" s="80"/>
      <c r="AS72" s="80"/>
      <c r="AT72" s="80"/>
      <c r="AU72" s="80"/>
      <c r="AV72" s="80"/>
      <c r="AW72" s="80"/>
      <c r="AX72" s="80"/>
      <c r="AY72" s="80"/>
      <c r="AZ72" s="80"/>
      <c r="BA72" s="80"/>
    </row>
    <row r="73" spans="1:53" s="75" customFormat="1" x14ac:dyDescent="0.25">
      <c r="A73" s="120"/>
      <c r="B73" s="118"/>
      <c r="C73" s="112"/>
      <c r="D73" s="118"/>
      <c r="E73" s="555"/>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Arm3'!D73,Staff_Costs[[#All],[Role]],0),MATCH("Per-minute cost",Staff_Costs[#Headers],0))*'Per-Participant Activities Arm3'!C73)</f>
        <v>#N/A</v>
      </c>
      <c r="AJ73" s="117" t="e">
        <f t="shared" si="4"/>
        <v>#N/A</v>
      </c>
      <c r="AK73" s="117" t="e">
        <f t="shared" si="5"/>
        <v>#N/A</v>
      </c>
      <c r="AL73" s="117" t="e">
        <f t="shared" si="6"/>
        <v>#N/A</v>
      </c>
      <c r="AM73" s="117" t="e">
        <f t="shared" si="7"/>
        <v>#N/A</v>
      </c>
      <c r="AN73" s="117" t="e">
        <f t="shared" si="8"/>
        <v>#N/A</v>
      </c>
      <c r="AO73" s="107" t="e">
        <f>INDEX('Tariff (hidden)'!$B$4:$B$133,MATCH(B73,'Tariff (hidden)'!$A$4:$A$133,0))</f>
        <v>#N/A</v>
      </c>
      <c r="AP73" s="80"/>
      <c r="AQ73" s="80"/>
      <c r="AR73" s="80"/>
      <c r="AS73" s="80"/>
      <c r="AT73" s="80"/>
      <c r="AU73" s="80"/>
      <c r="AV73" s="80"/>
      <c r="AW73" s="80"/>
      <c r="AX73" s="80"/>
      <c r="AY73" s="80"/>
      <c r="AZ73" s="80"/>
      <c r="BA73" s="80"/>
    </row>
    <row r="74" spans="1:53" s="75" customFormat="1" x14ac:dyDescent="0.25">
      <c r="A74" s="120"/>
      <c r="B74" s="118"/>
      <c r="C74" s="112"/>
      <c r="D74" s="118"/>
      <c r="E74" s="555"/>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Arm3'!D74,Staff_Costs[[#All],[Role]],0),MATCH("Per-minute cost",Staff_Costs[#Headers],0))*'Per-Participant Activities Arm3'!C74)</f>
        <v>#N/A</v>
      </c>
      <c r="AJ74" s="117" t="e">
        <f t="shared" si="4"/>
        <v>#N/A</v>
      </c>
      <c r="AK74" s="117" t="e">
        <f t="shared" si="5"/>
        <v>#N/A</v>
      </c>
      <c r="AL74" s="117" t="e">
        <f t="shared" si="6"/>
        <v>#N/A</v>
      </c>
      <c r="AM74" s="117" t="e">
        <f t="shared" si="7"/>
        <v>#N/A</v>
      </c>
      <c r="AN74" s="117" t="e">
        <f t="shared" si="8"/>
        <v>#N/A</v>
      </c>
      <c r="AO74" s="107" t="e">
        <f>INDEX('Tariff (hidden)'!$B$4:$B$133,MATCH(B74,'Tariff (hidden)'!$A$4:$A$133,0))</f>
        <v>#N/A</v>
      </c>
      <c r="AP74" s="80"/>
      <c r="AQ74" s="80"/>
      <c r="AR74" s="80"/>
      <c r="AS74" s="80"/>
      <c r="AT74" s="80"/>
      <c r="AU74" s="80"/>
      <c r="AV74" s="80"/>
      <c r="AW74" s="80"/>
      <c r="AX74" s="80"/>
      <c r="AY74" s="80"/>
      <c r="AZ74" s="80"/>
      <c r="BA74" s="80"/>
    </row>
    <row r="75" spans="1:53" s="75" customFormat="1" x14ac:dyDescent="0.25">
      <c r="A75" s="120"/>
      <c r="B75" s="118"/>
      <c r="C75" s="112"/>
      <c r="D75" s="118"/>
      <c r="E75" s="555"/>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Arm3'!D75,Staff_Costs[[#All],[Role]],0),MATCH("Per-minute cost",Staff_Costs[#Headers],0))*'Per-Participant Activities Arm3'!C75)</f>
        <v>#N/A</v>
      </c>
      <c r="AJ75" s="117" t="e">
        <f t="shared" si="4"/>
        <v>#N/A</v>
      </c>
      <c r="AK75" s="117" t="e">
        <f t="shared" si="5"/>
        <v>#N/A</v>
      </c>
      <c r="AL75" s="117" t="e">
        <f t="shared" si="6"/>
        <v>#N/A</v>
      </c>
      <c r="AM75" s="117" t="e">
        <f t="shared" si="7"/>
        <v>#N/A</v>
      </c>
      <c r="AN75" s="117" t="e">
        <f t="shared" si="8"/>
        <v>#N/A</v>
      </c>
      <c r="AO75" s="107" t="e">
        <f>INDEX('Tariff (hidden)'!$B$4:$B$133,MATCH(B75,'Tariff (hidden)'!$A$4:$A$133,0))</f>
        <v>#N/A</v>
      </c>
      <c r="AP75" s="80"/>
      <c r="AQ75" s="80"/>
      <c r="AR75" s="80"/>
      <c r="AS75" s="80"/>
      <c r="AT75" s="80"/>
      <c r="AU75" s="80"/>
      <c r="AV75" s="80"/>
      <c r="AW75" s="80"/>
      <c r="AX75" s="80"/>
      <c r="AY75" s="80"/>
      <c r="AZ75" s="80"/>
      <c r="BA75" s="80"/>
    </row>
    <row r="76" spans="1:53" s="75" customFormat="1" x14ac:dyDescent="0.25">
      <c r="A76" s="120"/>
      <c r="B76" s="118"/>
      <c r="C76" s="112"/>
      <c r="D76" s="118"/>
      <c r="E76" s="555"/>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Arm3'!D76,Staff_Costs[[#All],[Role]],0),MATCH("Per-minute cost",Staff_Costs[#Headers],0))*'Per-Participant Activities Arm3'!C76)</f>
        <v>#N/A</v>
      </c>
      <c r="AJ76" s="117" t="e">
        <f t="shared" si="4"/>
        <v>#N/A</v>
      </c>
      <c r="AK76" s="117" t="e">
        <f t="shared" si="5"/>
        <v>#N/A</v>
      </c>
      <c r="AL76" s="117" t="e">
        <f t="shared" si="6"/>
        <v>#N/A</v>
      </c>
      <c r="AM76" s="117" t="e">
        <f t="shared" si="7"/>
        <v>#N/A</v>
      </c>
      <c r="AN76" s="117" t="e">
        <f t="shared" si="8"/>
        <v>#N/A</v>
      </c>
      <c r="AO76" s="107" t="e">
        <f>INDEX('Tariff (hidden)'!$B$4:$B$133,MATCH(B76,'Tariff (hidden)'!$A$4:$A$133,0))</f>
        <v>#N/A</v>
      </c>
      <c r="AP76" s="80"/>
      <c r="AQ76" s="80"/>
      <c r="AR76" s="80"/>
      <c r="AS76" s="80"/>
      <c r="AT76" s="80"/>
      <c r="AU76" s="80"/>
      <c r="AV76" s="80"/>
      <c r="AW76" s="80"/>
      <c r="AX76" s="80"/>
      <c r="AY76" s="80"/>
      <c r="AZ76" s="80"/>
      <c r="BA76" s="80"/>
    </row>
    <row r="77" spans="1:53" s="75" customFormat="1" x14ac:dyDescent="0.25">
      <c r="A77" s="120"/>
      <c r="B77" s="118"/>
      <c r="C77" s="112"/>
      <c r="D77" s="118"/>
      <c r="E77" s="555"/>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Arm3'!D77,Staff_Costs[[#All],[Role]],0),MATCH("Per-minute cost",Staff_Costs[#Headers],0))*'Per-Participant Activities Arm3'!C77)</f>
        <v>#N/A</v>
      </c>
      <c r="AJ77" s="117" t="e">
        <f t="shared" si="4"/>
        <v>#N/A</v>
      </c>
      <c r="AK77" s="117" t="e">
        <f t="shared" si="5"/>
        <v>#N/A</v>
      </c>
      <c r="AL77" s="117" t="e">
        <f t="shared" si="6"/>
        <v>#N/A</v>
      </c>
      <c r="AM77" s="117" t="e">
        <f t="shared" si="7"/>
        <v>#N/A</v>
      </c>
      <c r="AN77" s="117" t="e">
        <f t="shared" si="8"/>
        <v>#N/A</v>
      </c>
      <c r="AO77" s="107" t="e">
        <f>INDEX('Tariff (hidden)'!$B$4:$B$133,MATCH(B77,'Tariff (hidden)'!$A$4:$A$133,0))</f>
        <v>#N/A</v>
      </c>
      <c r="AP77" s="80"/>
      <c r="AQ77" s="80"/>
      <c r="AR77" s="80"/>
      <c r="AS77" s="80"/>
      <c r="AT77" s="80"/>
      <c r="AU77" s="80"/>
      <c r="AV77" s="80"/>
      <c r="AW77" s="80"/>
      <c r="AX77" s="80"/>
      <c r="AY77" s="80"/>
      <c r="AZ77" s="80"/>
      <c r="BA77" s="80"/>
    </row>
    <row r="78" spans="1:53" s="75" customFormat="1" x14ac:dyDescent="0.25">
      <c r="A78" s="120"/>
      <c r="B78" s="118"/>
      <c r="C78" s="112"/>
      <c r="D78" s="118"/>
      <c r="E78" s="555"/>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Arm3'!D78,Staff_Costs[[#All],[Role]],0),MATCH("Per-minute cost",Staff_Costs[#Headers],0))*'Per-Participant Activities Arm3'!C78)</f>
        <v>#N/A</v>
      </c>
      <c r="AJ78" s="117" t="e">
        <f t="shared" si="4"/>
        <v>#N/A</v>
      </c>
      <c r="AK78" s="117" t="e">
        <f t="shared" si="5"/>
        <v>#N/A</v>
      </c>
      <c r="AL78" s="117" t="e">
        <f t="shared" si="6"/>
        <v>#N/A</v>
      </c>
      <c r="AM78" s="117" t="e">
        <f t="shared" si="7"/>
        <v>#N/A</v>
      </c>
      <c r="AN78" s="117" t="e">
        <f t="shared" si="8"/>
        <v>#N/A</v>
      </c>
      <c r="AO78" s="107" t="e">
        <f>INDEX('Tariff (hidden)'!$B$4:$B$133,MATCH(B78,'Tariff (hidden)'!$A$4:$A$133,0))</f>
        <v>#N/A</v>
      </c>
      <c r="AP78" s="80"/>
      <c r="AQ78" s="80"/>
      <c r="AR78" s="80"/>
      <c r="AS78" s="80"/>
      <c r="AT78" s="80"/>
      <c r="AU78" s="80"/>
      <c r="AV78" s="80"/>
      <c r="AW78" s="80"/>
      <c r="AX78" s="80"/>
      <c r="AY78" s="80"/>
      <c r="AZ78" s="80"/>
      <c r="BA78" s="80"/>
    </row>
    <row r="79" spans="1:53" s="75" customFormat="1" x14ac:dyDescent="0.25">
      <c r="A79" s="120"/>
      <c r="B79" s="118"/>
      <c r="C79" s="112"/>
      <c r="D79" s="118"/>
      <c r="E79" s="555"/>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Arm3'!D79,Staff_Costs[[#All],[Role]],0),MATCH("Per-minute cost",Staff_Costs[#Headers],0))*'Per-Participant Activities Arm3'!C79)</f>
        <v>#N/A</v>
      </c>
      <c r="AJ79" s="117" t="e">
        <f t="shared" si="4"/>
        <v>#N/A</v>
      </c>
      <c r="AK79" s="117" t="e">
        <f t="shared" si="5"/>
        <v>#N/A</v>
      </c>
      <c r="AL79" s="117" t="e">
        <f t="shared" si="6"/>
        <v>#N/A</v>
      </c>
      <c r="AM79" s="117" t="e">
        <f t="shared" si="7"/>
        <v>#N/A</v>
      </c>
      <c r="AN79" s="117" t="e">
        <f t="shared" si="8"/>
        <v>#N/A</v>
      </c>
      <c r="AO79" s="107" t="e">
        <f>INDEX('Tariff (hidden)'!$B$4:$B$133,MATCH(B79,'Tariff (hidden)'!$A$4:$A$133,0))</f>
        <v>#N/A</v>
      </c>
      <c r="AP79" s="80"/>
      <c r="AQ79" s="80"/>
      <c r="AR79" s="80"/>
      <c r="AS79" s="80"/>
      <c r="AT79" s="80"/>
      <c r="AU79" s="80"/>
      <c r="AV79" s="80"/>
      <c r="AW79" s="80"/>
      <c r="AX79" s="80"/>
      <c r="AY79" s="80"/>
      <c r="AZ79" s="80"/>
      <c r="BA79" s="80"/>
    </row>
    <row r="80" spans="1:53" s="75" customFormat="1" x14ac:dyDescent="0.25">
      <c r="A80" s="120"/>
      <c r="B80" s="118"/>
      <c r="C80" s="112"/>
      <c r="D80" s="118"/>
      <c r="E80" s="555"/>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Arm3'!D80,Staff_Costs[[#All],[Role]],0),MATCH("Per-minute cost",Staff_Costs[#Headers],0))*'Per-Participant Activities Arm3'!C80)</f>
        <v>#N/A</v>
      </c>
      <c r="AJ80" s="117" t="e">
        <f t="shared" si="4"/>
        <v>#N/A</v>
      </c>
      <c r="AK80" s="117" t="e">
        <f t="shared" si="5"/>
        <v>#N/A</v>
      </c>
      <c r="AL80" s="117" t="e">
        <f t="shared" si="6"/>
        <v>#N/A</v>
      </c>
      <c r="AM80" s="117" t="e">
        <f t="shared" si="7"/>
        <v>#N/A</v>
      </c>
      <c r="AN80" s="117" t="e">
        <f t="shared" si="8"/>
        <v>#N/A</v>
      </c>
      <c r="AO80" s="107" t="e">
        <f>INDEX('Tariff (hidden)'!$B$4:$B$133,MATCH(B80,'Tariff (hidden)'!$A$4:$A$133,0))</f>
        <v>#N/A</v>
      </c>
      <c r="AP80" s="80"/>
      <c r="AQ80" s="80"/>
      <c r="AR80" s="80"/>
      <c r="AS80" s="80"/>
      <c r="AT80" s="80"/>
      <c r="AU80" s="80"/>
      <c r="AV80" s="80"/>
      <c r="AW80" s="80"/>
      <c r="AX80" s="80"/>
      <c r="AY80" s="80"/>
      <c r="AZ80" s="80"/>
      <c r="BA80" s="80"/>
    </row>
    <row r="81" spans="1:53" s="75" customFormat="1" x14ac:dyDescent="0.25">
      <c r="A81" s="120"/>
      <c r="B81" s="118"/>
      <c r="C81" s="112"/>
      <c r="D81" s="118"/>
      <c r="E81" s="555"/>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Arm3'!D81,Staff_Costs[[#All],[Role]],0),MATCH("Per-minute cost",Staff_Costs[#Headers],0))*'Per-Participant Activities Arm3'!C81)</f>
        <v>#N/A</v>
      </c>
      <c r="AJ81" s="117" t="e">
        <f t="shared" si="4"/>
        <v>#N/A</v>
      </c>
      <c r="AK81" s="117" t="e">
        <f t="shared" si="5"/>
        <v>#N/A</v>
      </c>
      <c r="AL81" s="117" t="e">
        <f t="shared" si="6"/>
        <v>#N/A</v>
      </c>
      <c r="AM81" s="117" t="e">
        <f t="shared" si="7"/>
        <v>#N/A</v>
      </c>
      <c r="AN81" s="117" t="e">
        <f t="shared" si="8"/>
        <v>#N/A</v>
      </c>
      <c r="AO81" s="107" t="e">
        <f>INDEX('Tariff (hidden)'!$B$4:$B$133,MATCH(B81,'Tariff (hidden)'!$A$4:$A$133,0))</f>
        <v>#N/A</v>
      </c>
      <c r="AP81" s="80"/>
      <c r="AQ81" s="80"/>
      <c r="AR81" s="80"/>
      <c r="AS81" s="80"/>
      <c r="AT81" s="80"/>
      <c r="AU81" s="80"/>
      <c r="AV81" s="80"/>
      <c r="AW81" s="80"/>
      <c r="AX81" s="80"/>
      <c r="AY81" s="80"/>
      <c r="AZ81" s="80"/>
      <c r="BA81" s="80"/>
    </row>
    <row r="82" spans="1:53" s="75" customFormat="1" x14ac:dyDescent="0.25">
      <c r="A82" s="120"/>
      <c r="B82" s="118"/>
      <c r="C82" s="112"/>
      <c r="D82" s="118"/>
      <c r="E82" s="555"/>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Arm3'!D82,Staff_Costs[[#All],[Role]],0),MATCH("Per-minute cost",Staff_Costs[#Headers],0))*'Per-Participant Activities Arm3'!C82)</f>
        <v>#N/A</v>
      </c>
      <c r="AJ82" s="117" t="e">
        <f t="shared" si="4"/>
        <v>#N/A</v>
      </c>
      <c r="AK82" s="117" t="e">
        <f t="shared" si="5"/>
        <v>#N/A</v>
      </c>
      <c r="AL82" s="117" t="e">
        <f t="shared" si="6"/>
        <v>#N/A</v>
      </c>
      <c r="AM82" s="117" t="e">
        <f t="shared" si="7"/>
        <v>#N/A</v>
      </c>
      <c r="AN82" s="117" t="e">
        <f t="shared" si="8"/>
        <v>#N/A</v>
      </c>
      <c r="AO82" s="107" t="e">
        <f>INDEX('Tariff (hidden)'!$B$4:$B$133,MATCH(B82,'Tariff (hidden)'!$A$4:$A$133,0))</f>
        <v>#N/A</v>
      </c>
      <c r="AP82" s="80"/>
      <c r="AQ82" s="80"/>
      <c r="AR82" s="80"/>
      <c r="AS82" s="80"/>
      <c r="AT82" s="80"/>
      <c r="AU82" s="80"/>
      <c r="AV82" s="80"/>
      <c r="AW82" s="80"/>
      <c r="AX82" s="80"/>
      <c r="AY82" s="80"/>
      <c r="AZ82" s="80"/>
      <c r="BA82" s="80"/>
    </row>
    <row r="83" spans="1:53" s="75" customFormat="1" x14ac:dyDescent="0.25">
      <c r="A83" s="120"/>
      <c r="B83" s="118"/>
      <c r="C83" s="112"/>
      <c r="D83" s="118"/>
      <c r="E83" s="555"/>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Arm3'!D83,Staff_Costs[[#All],[Role]],0),MATCH("Per-minute cost",Staff_Costs[#Headers],0))*'Per-Participant Activities Arm3'!C83)</f>
        <v>#N/A</v>
      </c>
      <c r="AJ83" s="117" t="e">
        <f t="shared" si="4"/>
        <v>#N/A</v>
      </c>
      <c r="AK83" s="117" t="e">
        <f t="shared" si="5"/>
        <v>#N/A</v>
      </c>
      <c r="AL83" s="117" t="e">
        <f t="shared" si="6"/>
        <v>#N/A</v>
      </c>
      <c r="AM83" s="117" t="e">
        <f t="shared" si="7"/>
        <v>#N/A</v>
      </c>
      <c r="AN83" s="117" t="e">
        <f t="shared" si="8"/>
        <v>#N/A</v>
      </c>
      <c r="AO83" s="107" t="e">
        <f>INDEX('Tariff (hidden)'!$B$4:$B$133,MATCH(B83,'Tariff (hidden)'!$A$4:$A$133,0))</f>
        <v>#N/A</v>
      </c>
      <c r="AP83" s="80"/>
      <c r="AQ83" s="80"/>
      <c r="AR83" s="80"/>
      <c r="AS83" s="80"/>
      <c r="AT83" s="80"/>
      <c r="AU83" s="80"/>
      <c r="AV83" s="80"/>
      <c r="AW83" s="80"/>
      <c r="AX83" s="80"/>
      <c r="AY83" s="80"/>
      <c r="AZ83" s="80"/>
      <c r="BA83" s="80"/>
    </row>
    <row r="84" spans="1:53" s="75" customFormat="1" x14ac:dyDescent="0.25">
      <c r="A84" s="120"/>
      <c r="B84" s="118"/>
      <c r="C84" s="112"/>
      <c r="D84" s="118"/>
      <c r="E84" s="555"/>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Arm3'!D84,Staff_Costs[[#All],[Role]],0),MATCH("Per-minute cost",Staff_Costs[#Headers],0))*'Per-Participant Activities Arm3'!C84)</f>
        <v>#N/A</v>
      </c>
      <c r="AJ84" s="117" t="e">
        <f t="shared" si="4"/>
        <v>#N/A</v>
      </c>
      <c r="AK84" s="117" t="e">
        <f t="shared" si="5"/>
        <v>#N/A</v>
      </c>
      <c r="AL84" s="117" t="e">
        <f t="shared" si="6"/>
        <v>#N/A</v>
      </c>
      <c r="AM84" s="117" t="e">
        <f t="shared" si="7"/>
        <v>#N/A</v>
      </c>
      <c r="AN84" s="117" t="e">
        <f t="shared" si="8"/>
        <v>#N/A</v>
      </c>
      <c r="AO84" s="107" t="e">
        <f>INDEX('Tariff (hidden)'!$B$4:$B$133,MATCH(B84,'Tariff (hidden)'!$A$4:$A$133,0))</f>
        <v>#N/A</v>
      </c>
      <c r="AP84" s="80"/>
      <c r="AQ84" s="80"/>
      <c r="AR84" s="80"/>
      <c r="AS84" s="80"/>
      <c r="AT84" s="80"/>
      <c r="AU84" s="80"/>
      <c r="AV84" s="80"/>
      <c r="AW84" s="80"/>
      <c r="AX84" s="80"/>
      <c r="AY84" s="80"/>
      <c r="AZ84" s="80"/>
      <c r="BA84" s="80"/>
    </row>
    <row r="85" spans="1:53" s="75" customFormat="1" x14ac:dyDescent="0.25">
      <c r="A85" s="120"/>
      <c r="B85" s="118"/>
      <c r="C85" s="112"/>
      <c r="D85" s="118"/>
      <c r="E85" s="555"/>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Arm3'!D85,Staff_Costs[[#All],[Role]],0),MATCH("Per-minute cost",Staff_Costs[#Headers],0))*'Per-Participant Activities Arm3'!C85)</f>
        <v>#N/A</v>
      </c>
      <c r="AJ85" s="117" t="e">
        <f t="shared" si="4"/>
        <v>#N/A</v>
      </c>
      <c r="AK85" s="117" t="e">
        <f t="shared" si="5"/>
        <v>#N/A</v>
      </c>
      <c r="AL85" s="117" t="e">
        <f t="shared" si="6"/>
        <v>#N/A</v>
      </c>
      <c r="AM85" s="117" t="e">
        <f t="shared" si="7"/>
        <v>#N/A</v>
      </c>
      <c r="AN85" s="117" t="e">
        <f t="shared" si="8"/>
        <v>#N/A</v>
      </c>
      <c r="AO85" s="107" t="e">
        <f>INDEX('Tariff (hidden)'!$B$4:$B$133,MATCH(B85,'Tariff (hidden)'!$A$4:$A$133,0))</f>
        <v>#N/A</v>
      </c>
      <c r="AP85" s="80"/>
      <c r="AQ85" s="80"/>
      <c r="AR85" s="80"/>
      <c r="AS85" s="80"/>
      <c r="AT85" s="80"/>
      <c r="AU85" s="80"/>
      <c r="AV85" s="80"/>
      <c r="AW85" s="80"/>
      <c r="AX85" s="80"/>
      <c r="AY85" s="80"/>
      <c r="AZ85" s="80"/>
      <c r="BA85" s="80"/>
    </row>
    <row r="86" spans="1:53" s="75" customFormat="1" x14ac:dyDescent="0.25">
      <c r="A86" s="120"/>
      <c r="B86" s="118"/>
      <c r="C86" s="112"/>
      <c r="D86" s="118"/>
      <c r="E86" s="555"/>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Arm3'!D86,Staff_Costs[[#All],[Role]],0),MATCH("Per-minute cost",Staff_Costs[#Headers],0))*'Per-Participant Activities Arm3'!C86)</f>
        <v>#N/A</v>
      </c>
      <c r="AJ86" s="117" t="e">
        <f t="shared" si="4"/>
        <v>#N/A</v>
      </c>
      <c r="AK86" s="117" t="e">
        <f t="shared" si="5"/>
        <v>#N/A</v>
      </c>
      <c r="AL86" s="117" t="e">
        <f t="shared" si="6"/>
        <v>#N/A</v>
      </c>
      <c r="AM86" s="117" t="e">
        <f t="shared" si="7"/>
        <v>#N/A</v>
      </c>
      <c r="AN86" s="117" t="e">
        <f t="shared" si="8"/>
        <v>#N/A</v>
      </c>
      <c r="AO86" s="107" t="e">
        <f>INDEX('Tariff (hidden)'!$B$4:$B$133,MATCH(B86,'Tariff (hidden)'!$A$4:$A$133,0))</f>
        <v>#N/A</v>
      </c>
      <c r="AP86" s="80"/>
      <c r="AQ86" s="80"/>
      <c r="AR86" s="80"/>
      <c r="AS86" s="80"/>
      <c r="AT86" s="80"/>
      <c r="AU86" s="80"/>
      <c r="AV86" s="80"/>
      <c r="AW86" s="80"/>
      <c r="AX86" s="80"/>
      <c r="AY86" s="80"/>
      <c r="AZ86" s="80"/>
      <c r="BA86" s="80"/>
    </row>
    <row r="87" spans="1:53" s="75" customFormat="1" x14ac:dyDescent="0.25">
      <c r="A87" s="120"/>
      <c r="B87" s="118"/>
      <c r="C87" s="112"/>
      <c r="D87" s="118"/>
      <c r="E87" s="555"/>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Arm3'!D87,Staff_Costs[[#All],[Role]],0),MATCH("Per-minute cost",Staff_Costs[#Headers],0))*'Per-Participant Activities Arm3'!C87)</f>
        <v>#N/A</v>
      </c>
      <c r="AJ87" s="117" t="e">
        <f t="shared" si="4"/>
        <v>#N/A</v>
      </c>
      <c r="AK87" s="117" t="e">
        <f t="shared" si="5"/>
        <v>#N/A</v>
      </c>
      <c r="AL87" s="117" t="e">
        <f t="shared" si="6"/>
        <v>#N/A</v>
      </c>
      <c r="AM87" s="117" t="e">
        <f t="shared" si="7"/>
        <v>#N/A</v>
      </c>
      <c r="AN87" s="117" t="e">
        <f t="shared" si="8"/>
        <v>#N/A</v>
      </c>
      <c r="AO87" s="107" t="e">
        <f>INDEX('Tariff (hidden)'!$B$4:$B$133,MATCH(B87,'Tariff (hidden)'!$A$4:$A$133,0))</f>
        <v>#N/A</v>
      </c>
      <c r="AP87" s="80"/>
      <c r="AQ87" s="80"/>
      <c r="AR87" s="80"/>
      <c r="AS87" s="80"/>
      <c r="AT87" s="80"/>
      <c r="AU87" s="80"/>
      <c r="AV87" s="80"/>
      <c r="AW87" s="80"/>
      <c r="AX87" s="80"/>
      <c r="AY87" s="80"/>
      <c r="AZ87" s="80"/>
      <c r="BA87" s="80"/>
    </row>
    <row r="88" spans="1:53" s="75" customFormat="1" x14ac:dyDescent="0.25">
      <c r="A88" s="120"/>
      <c r="B88" s="118"/>
      <c r="C88" s="112"/>
      <c r="D88" s="118"/>
      <c r="E88" s="555"/>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Arm3'!D88,Staff_Costs[[#All],[Role]],0),MATCH("Per-minute cost",Staff_Costs[#Headers],0))*'Per-Participant Activities Arm3'!C88)</f>
        <v>#N/A</v>
      </c>
      <c r="AJ88" s="117" t="e">
        <f t="shared" si="4"/>
        <v>#N/A</v>
      </c>
      <c r="AK88" s="117" t="e">
        <f t="shared" si="5"/>
        <v>#N/A</v>
      </c>
      <c r="AL88" s="117" t="e">
        <f t="shared" si="6"/>
        <v>#N/A</v>
      </c>
      <c r="AM88" s="117" t="e">
        <f t="shared" si="7"/>
        <v>#N/A</v>
      </c>
      <c r="AN88" s="117" t="e">
        <f t="shared" si="8"/>
        <v>#N/A</v>
      </c>
      <c r="AO88" s="107" t="e">
        <f>INDEX('Tariff (hidden)'!$B$4:$B$133,MATCH(B88,'Tariff (hidden)'!$A$4:$A$133,0))</f>
        <v>#N/A</v>
      </c>
      <c r="AP88" s="80"/>
      <c r="AQ88" s="80"/>
      <c r="AR88" s="80"/>
      <c r="AS88" s="80"/>
      <c r="AT88" s="80"/>
      <c r="AU88" s="80"/>
      <c r="AV88" s="80"/>
      <c r="AW88" s="80"/>
      <c r="AX88" s="80"/>
      <c r="AY88" s="80"/>
      <c r="AZ88" s="80"/>
      <c r="BA88" s="80"/>
    </row>
    <row r="89" spans="1:53" s="75" customFormat="1" x14ac:dyDescent="0.25">
      <c r="A89" s="120"/>
      <c r="B89" s="118"/>
      <c r="C89" s="112"/>
      <c r="D89" s="118"/>
      <c r="E89" s="555"/>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Arm3'!D89,Staff_Costs[[#All],[Role]],0),MATCH("Per-minute cost",Staff_Costs[#Headers],0))*'Per-Participant Activities Arm3'!C89)</f>
        <v>#N/A</v>
      </c>
      <c r="AJ89" s="117" t="e">
        <f t="shared" si="4"/>
        <v>#N/A</v>
      </c>
      <c r="AK89" s="117" t="e">
        <f t="shared" si="5"/>
        <v>#N/A</v>
      </c>
      <c r="AL89" s="117" t="e">
        <f t="shared" si="6"/>
        <v>#N/A</v>
      </c>
      <c r="AM89" s="117" t="e">
        <f t="shared" si="7"/>
        <v>#N/A</v>
      </c>
      <c r="AN89" s="117" t="e">
        <f t="shared" si="8"/>
        <v>#N/A</v>
      </c>
      <c r="AO89" s="107" t="e">
        <f>INDEX('Tariff (hidden)'!$B$4:$B$133,MATCH(B89,'Tariff (hidden)'!$A$4:$A$133,0))</f>
        <v>#N/A</v>
      </c>
      <c r="AP89" s="80"/>
      <c r="AQ89" s="80"/>
      <c r="AR89" s="80"/>
      <c r="AS89" s="80"/>
      <c r="AT89" s="80"/>
      <c r="AU89" s="80"/>
      <c r="AV89" s="80"/>
      <c r="AW89" s="80"/>
      <c r="AX89" s="80"/>
      <c r="AY89" s="80"/>
      <c r="AZ89" s="80"/>
      <c r="BA89" s="80"/>
    </row>
    <row r="90" spans="1:53" s="75" customFormat="1" x14ac:dyDescent="0.25">
      <c r="A90" s="120"/>
      <c r="B90" s="118"/>
      <c r="C90" s="112"/>
      <c r="D90" s="118"/>
      <c r="E90" s="555"/>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Arm3'!D90,Staff_Costs[[#All],[Role]],0),MATCH("Per-minute cost",Staff_Costs[#Headers],0))*'Per-Participant Activities Arm3'!C90)</f>
        <v>#N/A</v>
      </c>
      <c r="AJ90" s="117" t="e">
        <f t="shared" si="4"/>
        <v>#N/A</v>
      </c>
      <c r="AK90" s="117" t="e">
        <f t="shared" si="5"/>
        <v>#N/A</v>
      </c>
      <c r="AL90" s="117" t="e">
        <f t="shared" si="6"/>
        <v>#N/A</v>
      </c>
      <c r="AM90" s="117" t="e">
        <f t="shared" si="7"/>
        <v>#N/A</v>
      </c>
      <c r="AN90" s="117" t="e">
        <f t="shared" si="8"/>
        <v>#N/A</v>
      </c>
      <c r="AO90" s="107" t="e">
        <f>INDEX('Tariff (hidden)'!$B$4:$B$133,MATCH(B90,'Tariff (hidden)'!$A$4:$A$133,0))</f>
        <v>#N/A</v>
      </c>
      <c r="AP90" s="80"/>
      <c r="AQ90" s="80"/>
      <c r="AR90" s="80"/>
      <c r="AS90" s="80"/>
      <c r="AT90" s="80"/>
      <c r="AU90" s="80"/>
      <c r="AV90" s="80"/>
      <c r="AW90" s="80"/>
      <c r="AX90" s="80"/>
      <c r="AY90" s="80"/>
      <c r="AZ90" s="80"/>
      <c r="BA90" s="80"/>
    </row>
    <row r="91" spans="1:53" s="75" customFormat="1" x14ac:dyDescent="0.25">
      <c r="A91" s="120"/>
      <c r="B91" s="118"/>
      <c r="C91" s="112"/>
      <c r="D91" s="118"/>
      <c r="E91" s="555"/>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Arm3'!D91,Staff_Costs[[#All],[Role]],0),MATCH("Per-minute cost",Staff_Costs[#Headers],0))*'Per-Participant Activities Arm3'!C91)</f>
        <v>#N/A</v>
      </c>
      <c r="AJ91" s="117" t="e">
        <f t="shared" si="4"/>
        <v>#N/A</v>
      </c>
      <c r="AK91" s="117" t="e">
        <f t="shared" si="5"/>
        <v>#N/A</v>
      </c>
      <c r="AL91" s="117" t="e">
        <f t="shared" si="6"/>
        <v>#N/A</v>
      </c>
      <c r="AM91" s="117" t="e">
        <f t="shared" si="7"/>
        <v>#N/A</v>
      </c>
      <c r="AN91" s="117" t="e">
        <f t="shared" si="8"/>
        <v>#N/A</v>
      </c>
      <c r="AO91" s="107" t="e">
        <f>INDEX('Tariff (hidden)'!$B$4:$B$133,MATCH(B91,'Tariff (hidden)'!$A$4:$A$133,0))</f>
        <v>#N/A</v>
      </c>
      <c r="AP91" s="80"/>
      <c r="AQ91" s="80"/>
      <c r="AR91" s="80"/>
      <c r="AS91" s="80"/>
      <c r="AT91" s="80"/>
      <c r="AU91" s="80"/>
      <c r="AV91" s="80"/>
      <c r="AW91" s="80"/>
      <c r="AX91" s="80"/>
      <c r="AY91" s="80"/>
      <c r="AZ91" s="80"/>
      <c r="BA91" s="80"/>
    </row>
    <row r="92" spans="1:53" s="75" customFormat="1" x14ac:dyDescent="0.25">
      <c r="A92" s="120"/>
      <c r="B92" s="118"/>
      <c r="C92" s="112"/>
      <c r="D92" s="118"/>
      <c r="E92" s="555"/>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Arm3'!D92,Staff_Costs[[#All],[Role]],0),MATCH("Per-minute cost",Staff_Costs[#Headers],0))*'Per-Participant Activities Arm3'!C92)</f>
        <v>#N/A</v>
      </c>
      <c r="AJ92" s="117" t="e">
        <f t="shared" si="4"/>
        <v>#N/A</v>
      </c>
      <c r="AK92" s="117" t="e">
        <f t="shared" si="5"/>
        <v>#N/A</v>
      </c>
      <c r="AL92" s="117" t="e">
        <f t="shared" si="6"/>
        <v>#N/A</v>
      </c>
      <c r="AM92" s="117" t="e">
        <f t="shared" si="7"/>
        <v>#N/A</v>
      </c>
      <c r="AN92" s="117" t="e">
        <f t="shared" si="8"/>
        <v>#N/A</v>
      </c>
      <c r="AO92" s="107" t="e">
        <f>INDEX('Tariff (hidden)'!$B$4:$B$133,MATCH(B92,'Tariff (hidden)'!$A$4:$A$133,0))</f>
        <v>#N/A</v>
      </c>
      <c r="AP92" s="80"/>
      <c r="AQ92" s="80"/>
      <c r="AR92" s="80"/>
      <c r="AS92" s="80"/>
      <c r="AT92" s="80"/>
      <c r="AU92" s="80"/>
      <c r="AV92" s="80"/>
      <c r="AW92" s="80"/>
      <c r="AX92" s="80"/>
      <c r="AY92" s="80"/>
      <c r="AZ92" s="80"/>
      <c r="BA92" s="80"/>
    </row>
    <row r="93" spans="1:53" s="75" customFormat="1" x14ac:dyDescent="0.25">
      <c r="A93" s="120"/>
      <c r="B93" s="118"/>
      <c r="C93" s="112"/>
      <c r="D93" s="118"/>
      <c r="E93" s="555"/>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Arm3'!D93,Staff_Costs[[#All],[Role]],0),MATCH("Per-minute cost",Staff_Costs[#Headers],0))*'Per-Participant Activities Arm3'!C93)</f>
        <v>#N/A</v>
      </c>
      <c r="AJ93" s="117" t="e">
        <f t="shared" si="4"/>
        <v>#N/A</v>
      </c>
      <c r="AK93" s="117" t="e">
        <f t="shared" si="5"/>
        <v>#N/A</v>
      </c>
      <c r="AL93" s="117" t="e">
        <f t="shared" si="6"/>
        <v>#N/A</v>
      </c>
      <c r="AM93" s="117" t="e">
        <f t="shared" si="7"/>
        <v>#N/A</v>
      </c>
      <c r="AN93" s="117" t="e">
        <f t="shared" si="8"/>
        <v>#N/A</v>
      </c>
      <c r="AO93" s="107" t="e">
        <f>INDEX('Tariff (hidden)'!$B$4:$B$133,MATCH(B93,'Tariff (hidden)'!$A$4:$A$133,0))</f>
        <v>#N/A</v>
      </c>
      <c r="AP93" s="80"/>
      <c r="AQ93" s="80"/>
      <c r="AR93" s="80"/>
      <c r="AS93" s="80"/>
      <c r="AT93" s="80"/>
      <c r="AU93" s="80"/>
      <c r="AV93" s="80"/>
      <c r="AW93" s="80"/>
      <c r="AX93" s="80"/>
      <c r="AY93" s="80"/>
      <c r="AZ93" s="80"/>
      <c r="BA93" s="80"/>
    </row>
    <row r="94" spans="1:53" s="75" customFormat="1" x14ac:dyDescent="0.25">
      <c r="A94" s="120"/>
      <c r="B94" s="118"/>
      <c r="C94" s="112"/>
      <c r="D94" s="118"/>
      <c r="E94" s="555"/>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Arm3'!D94,Staff_Costs[[#All],[Role]],0),MATCH("Per-minute cost",Staff_Costs[#Headers],0))*'Per-Participant Activities Arm3'!C94)</f>
        <v>#N/A</v>
      </c>
      <c r="AJ94" s="117" t="e">
        <f t="shared" si="4"/>
        <v>#N/A</v>
      </c>
      <c r="AK94" s="117" t="e">
        <f t="shared" si="5"/>
        <v>#N/A</v>
      </c>
      <c r="AL94" s="117" t="e">
        <f t="shared" si="6"/>
        <v>#N/A</v>
      </c>
      <c r="AM94" s="117" t="e">
        <f t="shared" si="7"/>
        <v>#N/A</v>
      </c>
      <c r="AN94" s="117" t="e">
        <f t="shared" si="8"/>
        <v>#N/A</v>
      </c>
      <c r="AO94" s="107" t="e">
        <f>INDEX('Tariff (hidden)'!$B$4:$B$133,MATCH(B94,'Tariff (hidden)'!$A$4:$A$133,0))</f>
        <v>#N/A</v>
      </c>
      <c r="AP94" s="80"/>
      <c r="AQ94" s="80"/>
      <c r="AR94" s="80"/>
      <c r="AS94" s="80"/>
      <c r="AT94" s="80"/>
      <c r="AU94" s="80"/>
      <c r="AV94" s="80"/>
      <c r="AW94" s="80"/>
      <c r="AX94" s="80"/>
      <c r="AY94" s="80"/>
      <c r="AZ94" s="80"/>
      <c r="BA94" s="80"/>
    </row>
    <row r="95" spans="1:53" s="75" customFormat="1" x14ac:dyDescent="0.25">
      <c r="A95" s="120"/>
      <c r="B95" s="118"/>
      <c r="C95" s="112"/>
      <c r="D95" s="118"/>
      <c r="E95" s="555"/>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Arm3'!D95,Staff_Costs[[#All],[Role]],0),MATCH("Per-minute cost",Staff_Costs[#Headers],0))*'Per-Participant Activities Arm3'!C95)</f>
        <v>#N/A</v>
      </c>
      <c r="AJ95" s="117" t="e">
        <f t="shared" si="4"/>
        <v>#N/A</v>
      </c>
      <c r="AK95" s="117" t="e">
        <f t="shared" si="5"/>
        <v>#N/A</v>
      </c>
      <c r="AL95" s="117" t="e">
        <f t="shared" si="6"/>
        <v>#N/A</v>
      </c>
      <c r="AM95" s="117" t="e">
        <f t="shared" si="7"/>
        <v>#N/A</v>
      </c>
      <c r="AN95" s="117" t="e">
        <f t="shared" si="8"/>
        <v>#N/A</v>
      </c>
      <c r="AO95" s="107" t="e">
        <f>INDEX('Tariff (hidden)'!$B$4:$B$133,MATCH(B95,'Tariff (hidden)'!$A$4:$A$133,0))</f>
        <v>#N/A</v>
      </c>
      <c r="AP95" s="80"/>
      <c r="AQ95" s="80"/>
      <c r="AR95" s="80"/>
      <c r="AS95" s="80"/>
      <c r="AT95" s="80"/>
      <c r="AU95" s="80"/>
      <c r="AV95" s="80"/>
      <c r="AW95" s="80"/>
      <c r="AX95" s="80"/>
      <c r="AY95" s="80"/>
      <c r="AZ95" s="80"/>
      <c r="BA95" s="80"/>
    </row>
    <row r="96" spans="1:53" s="75" customFormat="1" x14ac:dyDescent="0.25">
      <c r="A96" s="120"/>
      <c r="B96" s="118"/>
      <c r="C96" s="112"/>
      <c r="D96" s="118"/>
      <c r="E96" s="555"/>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Arm3'!D96,Staff_Costs[[#All],[Role]],0),MATCH("Per-minute cost",Staff_Costs[#Headers],0))*'Per-Participant Activities Arm3'!C96)</f>
        <v>#N/A</v>
      </c>
      <c r="AJ96" s="117" t="e">
        <f t="shared" si="4"/>
        <v>#N/A</v>
      </c>
      <c r="AK96" s="117" t="e">
        <f t="shared" si="5"/>
        <v>#N/A</v>
      </c>
      <c r="AL96" s="117" t="e">
        <f t="shared" si="6"/>
        <v>#N/A</v>
      </c>
      <c r="AM96" s="117" t="e">
        <f t="shared" si="7"/>
        <v>#N/A</v>
      </c>
      <c r="AN96" s="117" t="e">
        <f t="shared" si="8"/>
        <v>#N/A</v>
      </c>
      <c r="AO96" s="107" t="e">
        <f>INDEX('Tariff (hidden)'!$B$4:$B$133,MATCH(B96,'Tariff (hidden)'!$A$4:$A$133,0))</f>
        <v>#N/A</v>
      </c>
      <c r="AP96" s="80"/>
      <c r="AQ96" s="80"/>
      <c r="AR96" s="80"/>
      <c r="AS96" s="80"/>
      <c r="AT96" s="80"/>
      <c r="AU96" s="80"/>
      <c r="AV96" s="80"/>
      <c r="AW96" s="80"/>
      <c r="AX96" s="80"/>
      <c r="AY96" s="80"/>
      <c r="AZ96" s="80"/>
      <c r="BA96" s="80"/>
    </row>
    <row r="97" spans="1:53" s="75" customFormat="1" x14ac:dyDescent="0.25">
      <c r="A97" s="120"/>
      <c r="B97" s="118"/>
      <c r="C97" s="112"/>
      <c r="D97" s="118"/>
      <c r="E97" s="555"/>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Arm3'!D97,Staff_Costs[[#All],[Role]],0),MATCH("Per-minute cost",Staff_Costs[#Headers],0))*'Per-Participant Activities Arm3'!C97)</f>
        <v>#N/A</v>
      </c>
      <c r="AJ97" s="117" t="e">
        <f t="shared" si="4"/>
        <v>#N/A</v>
      </c>
      <c r="AK97" s="117" t="e">
        <f t="shared" si="5"/>
        <v>#N/A</v>
      </c>
      <c r="AL97" s="117" t="e">
        <f t="shared" si="6"/>
        <v>#N/A</v>
      </c>
      <c r="AM97" s="117" t="e">
        <f t="shared" si="7"/>
        <v>#N/A</v>
      </c>
      <c r="AN97" s="117" t="e">
        <f t="shared" si="8"/>
        <v>#N/A</v>
      </c>
      <c r="AO97" s="107" t="e">
        <f>INDEX('Tariff (hidden)'!$B$4:$B$133,MATCH(B97,'Tariff (hidden)'!$A$4:$A$133,0))</f>
        <v>#N/A</v>
      </c>
      <c r="AP97" s="80"/>
      <c r="AQ97" s="80"/>
      <c r="AR97" s="80"/>
      <c r="AS97" s="80"/>
      <c r="AT97" s="80"/>
      <c r="AU97" s="80"/>
      <c r="AV97" s="80"/>
      <c r="AW97" s="80"/>
      <c r="AX97" s="80"/>
      <c r="AY97" s="80"/>
      <c r="AZ97" s="80"/>
      <c r="BA97" s="80"/>
    </row>
    <row r="98" spans="1:53" s="75" customFormat="1" x14ac:dyDescent="0.25">
      <c r="A98" s="120"/>
      <c r="B98" s="118"/>
      <c r="C98" s="112"/>
      <c r="D98" s="118"/>
      <c r="E98" s="555"/>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Arm3'!D98,Staff_Costs[[#All],[Role]],0),MATCH("Per-minute cost",Staff_Costs[#Headers],0))*'Per-Participant Activities Arm3'!C98)</f>
        <v>#N/A</v>
      </c>
      <c r="AJ98" s="117" t="e">
        <f t="shared" si="4"/>
        <v>#N/A</v>
      </c>
      <c r="AK98" s="117" t="e">
        <f t="shared" si="5"/>
        <v>#N/A</v>
      </c>
      <c r="AL98" s="117" t="e">
        <f t="shared" si="6"/>
        <v>#N/A</v>
      </c>
      <c r="AM98" s="117" t="e">
        <f t="shared" si="7"/>
        <v>#N/A</v>
      </c>
      <c r="AN98" s="117" t="e">
        <f t="shared" si="8"/>
        <v>#N/A</v>
      </c>
      <c r="AO98" s="107" t="e">
        <f>INDEX('Tariff (hidden)'!$B$4:$B$133,MATCH(B98,'Tariff (hidden)'!$A$4:$A$133,0))</f>
        <v>#N/A</v>
      </c>
      <c r="AP98" s="80"/>
      <c r="AQ98" s="80"/>
      <c r="AR98" s="80"/>
      <c r="AS98" s="80"/>
      <c r="AT98" s="80"/>
      <c r="AU98" s="80"/>
      <c r="AV98" s="80"/>
      <c r="AW98" s="80"/>
      <c r="AX98" s="80"/>
      <c r="AY98" s="80"/>
      <c r="AZ98" s="80"/>
      <c r="BA98" s="80"/>
    </row>
    <row r="99" spans="1:53" s="75" customFormat="1" x14ac:dyDescent="0.25">
      <c r="A99" s="120"/>
      <c r="B99" s="118"/>
      <c r="C99" s="112"/>
      <c r="D99" s="118"/>
      <c r="E99" s="555"/>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Arm3'!D99,Staff_Costs[[#All],[Role]],0),MATCH("Per-minute cost",Staff_Costs[#Headers],0))*'Per-Participant Activities Arm3'!C99)</f>
        <v>#N/A</v>
      </c>
      <c r="AJ99" s="117" t="e">
        <f t="shared" si="4"/>
        <v>#N/A</v>
      </c>
      <c r="AK99" s="117" t="e">
        <f t="shared" si="5"/>
        <v>#N/A</v>
      </c>
      <c r="AL99" s="117" t="e">
        <f t="shared" si="6"/>
        <v>#N/A</v>
      </c>
      <c r="AM99" s="117" t="e">
        <f t="shared" si="7"/>
        <v>#N/A</v>
      </c>
      <c r="AN99" s="117" t="e">
        <f t="shared" si="8"/>
        <v>#N/A</v>
      </c>
      <c r="AO99" s="107" t="e">
        <f>INDEX('Tariff (hidden)'!$B$4:$B$133,MATCH(B99,'Tariff (hidden)'!$A$4:$A$133,0))</f>
        <v>#N/A</v>
      </c>
      <c r="AP99" s="80"/>
      <c r="AQ99" s="80"/>
      <c r="AR99" s="80"/>
      <c r="AS99" s="80"/>
      <c r="AT99" s="80"/>
      <c r="AU99" s="80"/>
      <c r="AV99" s="80"/>
      <c r="AW99" s="80"/>
      <c r="AX99" s="80"/>
      <c r="AY99" s="80"/>
      <c r="AZ99" s="80"/>
      <c r="BA99" s="80"/>
    </row>
    <row r="100" spans="1:53" s="75" customFormat="1" x14ac:dyDescent="0.25">
      <c r="A100" s="120"/>
      <c r="B100" s="118"/>
      <c r="C100" s="112"/>
      <c r="D100" s="118"/>
      <c r="E100" s="555"/>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Arm3'!D100,Staff_Costs[[#All],[Role]],0),MATCH("Per-minute cost",Staff_Costs[#Headers],0))*'Per-Participant Activities Arm3'!C100)</f>
        <v>#N/A</v>
      </c>
      <c r="AJ100" s="117" t="e">
        <f t="shared" si="4"/>
        <v>#N/A</v>
      </c>
      <c r="AK100" s="117" t="e">
        <f t="shared" si="5"/>
        <v>#N/A</v>
      </c>
      <c r="AL100" s="117" t="e">
        <f t="shared" si="6"/>
        <v>#N/A</v>
      </c>
      <c r="AM100" s="117" t="e">
        <f t="shared" si="7"/>
        <v>#N/A</v>
      </c>
      <c r="AN100" s="117" t="e">
        <f t="shared" si="8"/>
        <v>#N/A</v>
      </c>
      <c r="AO100" s="107" t="e">
        <f>INDEX('Tariff (hidden)'!$B$4:$B$133,MATCH(B100,'Tariff (hidden)'!$A$4:$A$133,0))</f>
        <v>#N/A</v>
      </c>
      <c r="AP100" s="80"/>
      <c r="AQ100" s="80"/>
      <c r="AR100" s="80"/>
      <c r="AS100" s="80"/>
      <c r="AT100" s="80"/>
      <c r="AU100" s="80"/>
      <c r="AV100" s="80"/>
      <c r="AW100" s="80"/>
      <c r="AX100" s="80"/>
      <c r="AY100" s="80"/>
      <c r="AZ100" s="80"/>
      <c r="BA100" s="80"/>
    </row>
    <row r="101" spans="1:53" s="75" customFormat="1" x14ac:dyDescent="0.25">
      <c r="A101" s="120"/>
      <c r="B101" s="118"/>
      <c r="C101" s="112"/>
      <c r="D101" s="118"/>
      <c r="E101" s="555"/>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Arm3'!D101,Staff_Costs[[#All],[Role]],0),MATCH("Per-minute cost",Staff_Costs[#Headers],0))*'Per-Participant Activities Arm3'!C101)</f>
        <v>#N/A</v>
      </c>
      <c r="AJ101" s="117" t="e">
        <f t="shared" si="4"/>
        <v>#N/A</v>
      </c>
      <c r="AK101" s="117" t="e">
        <f t="shared" si="5"/>
        <v>#N/A</v>
      </c>
      <c r="AL101" s="117" t="e">
        <f t="shared" si="6"/>
        <v>#N/A</v>
      </c>
      <c r="AM101" s="117" t="e">
        <f t="shared" si="7"/>
        <v>#N/A</v>
      </c>
      <c r="AN101" s="117" t="e">
        <f t="shared" si="8"/>
        <v>#N/A</v>
      </c>
      <c r="AO101" s="107" t="e">
        <f>INDEX('Tariff (hidden)'!$B$4:$B$133,MATCH(B101,'Tariff (hidden)'!$A$4:$A$133,0))</f>
        <v>#N/A</v>
      </c>
      <c r="AP101" s="80"/>
      <c r="AQ101" s="80"/>
      <c r="AR101" s="80"/>
      <c r="AS101" s="80"/>
      <c r="AT101" s="80"/>
      <c r="AU101" s="80"/>
      <c r="AV101" s="80"/>
      <c r="AW101" s="80"/>
      <c r="AX101" s="80"/>
      <c r="AY101" s="80"/>
      <c r="AZ101" s="80"/>
      <c r="BA101" s="80"/>
    </row>
    <row r="102" spans="1:53" s="75" customFormat="1" x14ac:dyDescent="0.25">
      <c r="A102" s="120"/>
      <c r="B102" s="118"/>
      <c r="C102" s="112"/>
      <c r="D102" s="118"/>
      <c r="E102" s="555"/>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Arm3'!D102,Staff_Costs[[#All],[Role]],0),MATCH("Per-minute cost",Staff_Costs[#Headers],0))*'Per-Participant Activities Arm3'!C102)</f>
        <v>#N/A</v>
      </c>
      <c r="AJ102" s="117" t="e">
        <f t="shared" si="4"/>
        <v>#N/A</v>
      </c>
      <c r="AK102" s="117" t="e">
        <f t="shared" si="5"/>
        <v>#N/A</v>
      </c>
      <c r="AL102" s="117" t="e">
        <f t="shared" si="6"/>
        <v>#N/A</v>
      </c>
      <c r="AM102" s="117" t="e">
        <f t="shared" si="7"/>
        <v>#N/A</v>
      </c>
      <c r="AN102" s="117" t="e">
        <f t="shared" si="8"/>
        <v>#N/A</v>
      </c>
      <c r="AO102" s="107" t="e">
        <f>INDEX('Tariff (hidden)'!$B$4:$B$133,MATCH(B102,'Tariff (hidden)'!$A$4:$A$133,0))</f>
        <v>#N/A</v>
      </c>
      <c r="AP102" s="80"/>
      <c r="AQ102" s="80"/>
      <c r="AR102" s="80"/>
      <c r="AS102" s="80"/>
      <c r="AT102" s="80"/>
      <c r="AU102" s="80"/>
      <c r="AV102" s="80"/>
      <c r="AW102" s="80"/>
      <c r="AX102" s="80"/>
      <c r="AY102" s="80"/>
      <c r="AZ102" s="80"/>
      <c r="BA102" s="80"/>
    </row>
    <row r="103" spans="1:53" s="75" customFormat="1" x14ac:dyDescent="0.25">
      <c r="A103" s="120"/>
      <c r="B103" s="118"/>
      <c r="C103" s="112"/>
      <c r="D103" s="118"/>
      <c r="E103" s="555"/>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Arm3'!D103,Staff_Costs[[#All],[Role]],0),MATCH("Per-minute cost",Staff_Costs[#Headers],0))*'Per-Participant Activities Arm3'!C103)</f>
        <v>#N/A</v>
      </c>
      <c r="AJ103" s="117" t="e">
        <f t="shared" si="4"/>
        <v>#N/A</v>
      </c>
      <c r="AK103" s="117" t="e">
        <f t="shared" si="5"/>
        <v>#N/A</v>
      </c>
      <c r="AL103" s="117" t="e">
        <f t="shared" si="6"/>
        <v>#N/A</v>
      </c>
      <c r="AM103" s="117" t="e">
        <f t="shared" si="7"/>
        <v>#N/A</v>
      </c>
      <c r="AN103" s="117" t="e">
        <f t="shared" si="8"/>
        <v>#N/A</v>
      </c>
      <c r="AO103" s="107" t="e">
        <f>INDEX('Tariff (hidden)'!$B$4:$B$133,MATCH(B103,'Tariff (hidden)'!$A$4:$A$133,0))</f>
        <v>#N/A</v>
      </c>
      <c r="AP103" s="80"/>
      <c r="AQ103" s="80"/>
      <c r="AR103" s="80"/>
      <c r="AS103" s="80"/>
      <c r="AT103" s="80"/>
      <c r="AU103" s="80"/>
      <c r="AV103" s="80"/>
      <c r="AW103" s="80"/>
      <c r="AX103" s="80"/>
      <c r="AY103" s="80"/>
      <c r="AZ103" s="80"/>
      <c r="BA103" s="80"/>
    </row>
    <row r="104" spans="1:53" s="75" customFormat="1" x14ac:dyDescent="0.25">
      <c r="A104" s="120"/>
      <c r="B104" s="118"/>
      <c r="C104" s="112"/>
      <c r="D104" s="118"/>
      <c r="E104" s="555"/>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Arm3'!D104,Staff_Costs[[#All],[Role]],0),MATCH("Per-minute cost",Staff_Costs[#Headers],0))*'Per-Participant Activities Arm3'!C104)</f>
        <v>#N/A</v>
      </c>
      <c r="AJ104" s="117" t="e">
        <f t="shared" si="4"/>
        <v>#N/A</v>
      </c>
      <c r="AK104" s="117" t="e">
        <f t="shared" si="5"/>
        <v>#N/A</v>
      </c>
      <c r="AL104" s="117" t="e">
        <f t="shared" si="6"/>
        <v>#N/A</v>
      </c>
      <c r="AM104" s="117" t="e">
        <f t="shared" si="7"/>
        <v>#N/A</v>
      </c>
      <c r="AN104" s="117" t="e">
        <f t="shared" si="8"/>
        <v>#N/A</v>
      </c>
      <c r="AO104" s="107" t="e">
        <f>INDEX('Tariff (hidden)'!$B$4:$B$133,MATCH(B104,'Tariff (hidden)'!$A$4:$A$133,0))</f>
        <v>#N/A</v>
      </c>
      <c r="AP104" s="80"/>
      <c r="AQ104" s="80"/>
      <c r="AR104" s="80"/>
      <c r="AS104" s="80"/>
      <c r="AT104" s="80"/>
      <c r="AU104" s="80"/>
      <c r="AV104" s="80"/>
      <c r="AW104" s="80"/>
      <c r="AX104" s="80"/>
      <c r="AY104" s="80"/>
      <c r="AZ104" s="80"/>
      <c r="BA104" s="80"/>
    </row>
    <row r="105" spans="1:53" s="75" customFormat="1" x14ac:dyDescent="0.25">
      <c r="A105" s="120"/>
      <c r="B105" s="118"/>
      <c r="C105" s="112"/>
      <c r="D105" s="118"/>
      <c r="E105" s="555"/>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Arm3'!D105,Staff_Costs[[#All],[Role]],0),MATCH("Per-minute cost",Staff_Costs[#Headers],0))*'Per-Participant Activities Arm3'!C105)</f>
        <v>#N/A</v>
      </c>
      <c r="AJ105" s="117" t="e">
        <f t="shared" si="4"/>
        <v>#N/A</v>
      </c>
      <c r="AK105" s="117" t="e">
        <f t="shared" si="5"/>
        <v>#N/A</v>
      </c>
      <c r="AL105" s="117" t="e">
        <f t="shared" si="6"/>
        <v>#N/A</v>
      </c>
      <c r="AM105" s="117" t="e">
        <f t="shared" si="7"/>
        <v>#N/A</v>
      </c>
      <c r="AN105" s="117" t="e">
        <f t="shared" si="8"/>
        <v>#N/A</v>
      </c>
      <c r="AO105" s="107" t="e">
        <f>INDEX('Tariff (hidden)'!$B$4:$B$133,MATCH(B105,'Tariff (hidden)'!$A$4:$A$133,0))</f>
        <v>#N/A</v>
      </c>
      <c r="AP105" s="80"/>
      <c r="AQ105" s="80"/>
      <c r="AR105" s="80"/>
      <c r="AS105" s="80"/>
      <c r="AT105" s="80"/>
      <c r="AU105" s="80"/>
      <c r="AV105" s="80"/>
      <c r="AW105" s="80"/>
      <c r="AX105" s="80"/>
      <c r="AY105" s="80"/>
      <c r="AZ105" s="80"/>
      <c r="BA105" s="80"/>
    </row>
    <row r="106" spans="1:53" s="75" customFormat="1" x14ac:dyDescent="0.25">
      <c r="A106" s="120"/>
      <c r="B106" s="118"/>
      <c r="C106" s="112"/>
      <c r="D106" s="118"/>
      <c r="E106" s="555"/>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Arm3'!D106,Staff_Costs[[#All],[Role]],0),MATCH("Per-minute cost",Staff_Costs[#Headers],0))*'Per-Participant Activities Arm3'!C106)</f>
        <v>#N/A</v>
      </c>
      <c r="AJ106" s="117" t="e">
        <f t="shared" si="4"/>
        <v>#N/A</v>
      </c>
      <c r="AK106" s="117" t="e">
        <f t="shared" si="5"/>
        <v>#N/A</v>
      </c>
      <c r="AL106" s="117" t="e">
        <f t="shared" si="6"/>
        <v>#N/A</v>
      </c>
      <c r="AM106" s="117" t="e">
        <f t="shared" si="7"/>
        <v>#N/A</v>
      </c>
      <c r="AN106" s="117" t="e">
        <f t="shared" si="8"/>
        <v>#N/A</v>
      </c>
      <c r="AO106" s="107" t="e">
        <f>INDEX('Tariff (hidden)'!$B$4:$B$133,MATCH(B106,'Tariff (hidden)'!$A$4:$A$133,0))</f>
        <v>#N/A</v>
      </c>
      <c r="AP106" s="80"/>
      <c r="AQ106" s="80"/>
      <c r="AR106" s="80"/>
      <c r="AS106" s="80"/>
      <c r="AT106" s="80"/>
      <c r="AU106" s="80"/>
      <c r="AV106" s="80"/>
      <c r="AW106" s="80"/>
      <c r="AX106" s="80"/>
      <c r="AY106" s="80"/>
      <c r="AZ106" s="80"/>
      <c r="BA106" s="80"/>
    </row>
    <row r="107" spans="1:53" s="75" customFormat="1" x14ac:dyDescent="0.25">
      <c r="A107" s="120"/>
      <c r="B107" s="118"/>
      <c r="C107" s="112"/>
      <c r="D107" s="118"/>
      <c r="E107" s="555"/>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Arm3'!D107,Staff_Costs[[#All],[Role]],0),MATCH("Per-minute cost",Staff_Costs[#Headers],0))*'Per-Participant Activities Arm3'!C107)</f>
        <v>#N/A</v>
      </c>
      <c r="AJ107" s="117" t="e">
        <f t="shared" si="4"/>
        <v>#N/A</v>
      </c>
      <c r="AK107" s="117" t="e">
        <f t="shared" si="5"/>
        <v>#N/A</v>
      </c>
      <c r="AL107" s="117" t="e">
        <f t="shared" si="6"/>
        <v>#N/A</v>
      </c>
      <c r="AM107" s="117" t="e">
        <f t="shared" si="7"/>
        <v>#N/A</v>
      </c>
      <c r="AN107" s="117" t="e">
        <f t="shared" si="8"/>
        <v>#N/A</v>
      </c>
      <c r="AO107" s="107" t="e">
        <f>INDEX('Tariff (hidden)'!$B$4:$B$133,MATCH(B107,'Tariff (hidden)'!$A$4:$A$133,0))</f>
        <v>#N/A</v>
      </c>
      <c r="AP107" s="80"/>
      <c r="AQ107" s="80"/>
      <c r="AR107" s="80"/>
      <c r="AS107" s="80"/>
      <c r="AT107" s="80"/>
      <c r="AU107" s="80"/>
      <c r="AV107" s="80"/>
      <c r="AW107" s="80"/>
      <c r="AX107" s="80"/>
      <c r="AY107" s="80"/>
      <c r="AZ107" s="80"/>
      <c r="BA107" s="80"/>
    </row>
    <row r="108" spans="1:53" s="75" customFormat="1" x14ac:dyDescent="0.25">
      <c r="A108" s="120"/>
      <c r="B108" s="118"/>
      <c r="C108" s="112"/>
      <c r="D108" s="118"/>
      <c r="E108" s="555"/>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Arm3'!D108,Staff_Costs[[#All],[Role]],0),MATCH("Per-minute cost",Staff_Costs[#Headers],0))*'Per-Participant Activities Arm3'!C108)</f>
        <v>#N/A</v>
      </c>
      <c r="AJ108" s="117" t="e">
        <f t="shared" si="4"/>
        <v>#N/A</v>
      </c>
      <c r="AK108" s="117" t="e">
        <f t="shared" si="5"/>
        <v>#N/A</v>
      </c>
      <c r="AL108" s="117" t="e">
        <f t="shared" si="6"/>
        <v>#N/A</v>
      </c>
      <c r="AM108" s="117" t="e">
        <f t="shared" si="7"/>
        <v>#N/A</v>
      </c>
      <c r="AN108" s="117" t="e">
        <f t="shared" si="8"/>
        <v>#N/A</v>
      </c>
      <c r="AO108" s="107" t="e">
        <f>INDEX('Tariff (hidden)'!$B$4:$B$133,MATCH(B108,'Tariff (hidden)'!$A$4:$A$133,0))</f>
        <v>#N/A</v>
      </c>
      <c r="AP108" s="80"/>
      <c r="AQ108" s="80"/>
      <c r="AR108" s="80"/>
      <c r="AS108" s="80"/>
      <c r="AT108" s="80"/>
      <c r="AU108" s="80"/>
      <c r="AV108" s="80"/>
      <c r="AW108" s="80"/>
      <c r="AX108" s="80"/>
      <c r="AY108" s="80"/>
      <c r="AZ108" s="80"/>
      <c r="BA108" s="80"/>
    </row>
    <row r="109" spans="1:53" s="75" customFormat="1" x14ac:dyDescent="0.25">
      <c r="A109" s="120"/>
      <c r="B109" s="118"/>
      <c r="C109" s="112"/>
      <c r="D109" s="118"/>
      <c r="E109" s="555"/>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Arm3'!D109,Staff_Costs[[#All],[Role]],0),MATCH("Per-minute cost",Staff_Costs[#Headers],0))*'Per-Participant Activities Arm3'!C109)</f>
        <v>#N/A</v>
      </c>
      <c r="AJ109" s="117" t="e">
        <f t="shared" si="4"/>
        <v>#N/A</v>
      </c>
      <c r="AK109" s="117" t="e">
        <f t="shared" si="5"/>
        <v>#N/A</v>
      </c>
      <c r="AL109" s="117" t="e">
        <f t="shared" si="6"/>
        <v>#N/A</v>
      </c>
      <c r="AM109" s="117" t="e">
        <f t="shared" si="7"/>
        <v>#N/A</v>
      </c>
      <c r="AN109" s="117" t="e">
        <f t="shared" si="8"/>
        <v>#N/A</v>
      </c>
      <c r="AO109" s="107" t="e">
        <f>INDEX('Tariff (hidden)'!$B$4:$B$133,MATCH(B109,'Tariff (hidden)'!$A$4:$A$133,0))</f>
        <v>#N/A</v>
      </c>
      <c r="AP109" s="80"/>
      <c r="AQ109" s="80"/>
      <c r="AR109" s="80"/>
      <c r="AS109" s="80"/>
      <c r="AT109" s="80"/>
      <c r="AU109" s="80"/>
      <c r="AV109" s="80"/>
      <c r="AW109" s="80"/>
      <c r="AX109" s="80"/>
      <c r="AY109" s="80"/>
      <c r="AZ109" s="80"/>
      <c r="BA109" s="80"/>
    </row>
    <row r="110" spans="1:53" s="75" customFormat="1" x14ac:dyDescent="0.25">
      <c r="A110" s="120"/>
      <c r="B110" s="118"/>
      <c r="C110" s="112"/>
      <c r="D110" s="118"/>
      <c r="E110" s="555"/>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Arm3'!D110,Staff_Costs[[#All],[Role]],0),MATCH("Per-minute cost",Staff_Costs[#Headers],0))*'Per-Participant Activities Arm3'!C110)</f>
        <v>#N/A</v>
      </c>
      <c r="AJ110" s="117" t="e">
        <f t="shared" si="4"/>
        <v>#N/A</v>
      </c>
      <c r="AK110" s="117" t="e">
        <f t="shared" si="5"/>
        <v>#N/A</v>
      </c>
      <c r="AL110" s="117" t="e">
        <f t="shared" si="6"/>
        <v>#N/A</v>
      </c>
      <c r="AM110" s="117" t="e">
        <f t="shared" si="7"/>
        <v>#N/A</v>
      </c>
      <c r="AN110" s="117" t="e">
        <f t="shared" si="8"/>
        <v>#N/A</v>
      </c>
      <c r="AO110" s="107" t="e">
        <f>INDEX('Tariff (hidden)'!$B$4:$B$133,MATCH(B110,'Tariff (hidden)'!$A$4:$A$133,0))</f>
        <v>#N/A</v>
      </c>
      <c r="AP110" s="80"/>
      <c r="AQ110" s="80"/>
      <c r="AR110" s="80"/>
      <c r="AS110" s="80"/>
      <c r="AT110" s="80"/>
      <c r="AU110" s="80"/>
      <c r="AV110" s="80"/>
      <c r="AW110" s="80"/>
      <c r="AX110" s="80"/>
      <c r="AY110" s="80"/>
      <c r="AZ110" s="80"/>
      <c r="BA110" s="80"/>
    </row>
  </sheetData>
  <sheetProtection algorithmName="SHA-512" hashValue="f+ZriZaejmEUe4DjQc9ZKPRCgNOECfnwK+3PpG/B2RiUvsGgI0u8bnpw/Jeby96GEfspCidM8vYpqrYAYtDkgQ==" saltValue="1wlyddw0fE9Xrg0nbb7Fcg==" spinCount="100000" sheet="1" objects="1" scenarios="1" insertColumns="0"/>
  <mergeCells count="5">
    <mergeCell ref="K3:L3"/>
    <mergeCell ref="N3:R3"/>
    <mergeCell ref="AK5:AO5"/>
    <mergeCell ref="K2:L2"/>
    <mergeCell ref="N2:R2"/>
  </mergeCells>
  <conditionalFormatting sqref="C9 C11:C63">
    <cfRule type="expression" dxfId="645" priority="4">
      <formula>IF($AO9="investigation",TRUE,FALSE)</formula>
    </cfRule>
  </conditionalFormatting>
  <conditionalFormatting sqref="C10">
    <cfRule type="expression" dxfId="644" priority="3">
      <formula>IF($AO10="investigation",TRUE,FALSE)</formula>
    </cfRule>
  </conditionalFormatting>
  <conditionalFormatting sqref="C64:C110">
    <cfRule type="expression" dxfId="643" priority="1">
      <formula>IF($AO64="investigation",TRUE,FALSE)</formula>
    </cfRule>
  </conditionalFormatting>
  <dataValidations xWindow="495" yWindow="536" count="8">
    <dataValidation type="list" allowBlank="1" showInputMessage="1" showErrorMessage="1" prompt="Select a cost type from the drop-down list." sqref="AH9:AH62">
      <formula1>ACTIVITIES_E_AF</formula1>
    </dataValidation>
    <dataValidation type="list" allowBlank="1" showInputMessage="1" showErrorMessage="1" errorTitle="Drop Down" error="Please select item from drop down list. " promptTitle="Selecting the Area of Activity" prompt="Use the drop-down list to select the correct area of activity. " sqref="A9:A110">
      <formula1>Area_of_Activity_for_each_participant</formula1>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9:B110">
      <formula1>INDIRECT(SUBSTITUTE($A9," ","_"))</formula1>
    </dataValidation>
    <dataValidation type="whole" allowBlank="1" showInputMessage="1" showErrorMessage="1" errorTitle="Duration in minutes" error="This field only accepts numeric input." sqref="C9:C110">
      <formula1>0</formula1>
      <formula2>100000</formula2>
    </dataValidation>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9:D110">
      <formula1>UNDERTAKEN_BY</formula1>
    </dataValidation>
    <dataValidation type="list" allowBlank="1" showInputMessage="1" showErrorMessage="1" sqref="F9:AG110">
      <formula1>INDIRECT(SUBSTITUTE($AW$3," ","_"))</formula1>
    </dataValidation>
    <dataValidation allowBlank="1" showInputMessage="1" showErrorMessage="1" error="Please select option from drop down menu" prompt="Please provide the specific staff type, job title, etc. of the person/s who will undertake this activity, if known" sqref="E9:E110"/>
    <dataValidation type="textLength" allowBlank="1" showInputMessage="1" showErrorMessage="1" error="Input limited to 100 characters including spaces." sqref="B4">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Z110"/>
  <sheetViews>
    <sheetView showGridLines="0" workbookViewId="0">
      <selection activeCell="A5" sqref="A5"/>
    </sheetView>
  </sheetViews>
  <sheetFormatPr defaultColWidth="9.140625" defaultRowHeight="15" x14ac:dyDescent="0.25"/>
  <cols>
    <col min="1" max="1" width="46.7109375" customWidth="1"/>
    <col min="2" max="2" width="44.7109375" customWidth="1"/>
    <col min="3" max="3" width="23.7109375" customWidth="1"/>
    <col min="4" max="4" width="17.7109375" customWidth="1"/>
    <col min="5" max="5" width="25.7109375" style="27"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8.85546875" customWidth="1"/>
  </cols>
  <sheetData>
    <row r="1" spans="1:52"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row>
    <row r="4" spans="1:52" s="75" customFormat="1" ht="18" customHeight="1" x14ac:dyDescent="0.25">
      <c r="A4" s="62" t="s">
        <v>174</v>
      </c>
      <c r="B4" s="76">
        <f>IRAS_REF</f>
        <v>281958</v>
      </c>
      <c r="C4" s="84"/>
      <c r="D4" s="13"/>
      <c r="E4" s="13"/>
      <c r="F4" s="12"/>
      <c r="G4" s="12"/>
      <c r="H4" s="12"/>
      <c r="I4" s="51"/>
      <c r="J4" s="13"/>
      <c r="K4" s="597"/>
      <c r="L4" s="598"/>
      <c r="M4" s="52"/>
      <c r="N4" s="595"/>
      <c r="O4" s="596"/>
      <c r="P4" s="596"/>
      <c r="Q4" s="596"/>
      <c r="R4" s="596"/>
      <c r="S4" s="13"/>
      <c r="T4" s="13"/>
      <c r="U4" s="13"/>
      <c r="V4" s="13"/>
      <c r="W4" s="13"/>
      <c r="X4" s="13"/>
      <c r="Y4" s="13"/>
      <c r="Z4" s="13"/>
      <c r="AA4" s="13"/>
      <c r="AB4" s="13"/>
      <c r="AC4" s="13"/>
      <c r="AD4" s="13"/>
      <c r="AE4" s="13"/>
      <c r="AF4" s="13"/>
      <c r="AG4" s="13"/>
      <c r="AH4" s="78"/>
      <c r="AI4" s="78"/>
      <c r="AJ4" s="80"/>
      <c r="AK4" s="80"/>
      <c r="AL4" s="80"/>
      <c r="AM4" s="80"/>
      <c r="AN4" s="80"/>
      <c r="AO4" s="80"/>
      <c r="AP4" s="80"/>
      <c r="AQ4" s="80"/>
      <c r="AR4" s="80"/>
      <c r="AS4" s="80"/>
      <c r="AT4" s="80"/>
      <c r="AU4" s="80"/>
      <c r="AV4" s="80"/>
      <c r="AW4" s="80"/>
      <c r="AX4" s="80"/>
      <c r="AY4" s="80"/>
      <c r="AZ4" s="80"/>
    </row>
    <row r="5" spans="1:52" s="75" customFormat="1" ht="28.5" x14ac:dyDescent="0.2">
      <c r="A5" s="490" t="s">
        <v>688</v>
      </c>
      <c r="B5" s="578"/>
      <c r="C5" s="84"/>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78"/>
      <c r="AI5" s="78"/>
      <c r="AJ5" s="80"/>
      <c r="AK5" s="80"/>
      <c r="AL5" s="80"/>
      <c r="AM5" s="80"/>
      <c r="AN5" s="80"/>
      <c r="AO5" s="80"/>
      <c r="AP5" s="80"/>
      <c r="AQ5" s="80"/>
      <c r="AR5" s="80"/>
      <c r="AS5" s="80"/>
      <c r="AT5" s="80"/>
      <c r="AU5" s="80"/>
      <c r="AV5" s="80"/>
      <c r="AW5" s="80"/>
      <c r="AX5" s="80"/>
      <c r="AY5" s="80"/>
      <c r="AZ5" s="80"/>
    </row>
    <row r="6" spans="1:52" s="75" customFormat="1" x14ac:dyDescent="0.25">
      <c r="A6" s="62" t="s">
        <v>349</v>
      </c>
      <c r="B6" s="465"/>
      <c r="C6" s="86"/>
      <c r="D6" s="87"/>
      <c r="E6" s="87"/>
      <c r="F6" s="125" t="str">
        <f>IF(AW3=0,"Please complete Q3 in the 'Study Information' tab before completing column E onwards","")</f>
        <v/>
      </c>
      <c r="G6" s="87"/>
      <c r="H6" s="87"/>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80"/>
      <c r="AK6" s="162"/>
      <c r="AL6" s="162"/>
      <c r="AM6" s="162"/>
      <c r="AN6" s="162"/>
      <c r="AO6" s="162"/>
      <c r="AP6" s="80"/>
      <c r="AQ6" s="80"/>
      <c r="AR6" s="80"/>
      <c r="AS6" s="80"/>
      <c r="AT6" s="80"/>
      <c r="AU6" s="80"/>
      <c r="AV6" s="80"/>
      <c r="AW6" s="80"/>
      <c r="AX6" s="80"/>
      <c r="AY6" s="80"/>
      <c r="AZ6" s="80"/>
    </row>
    <row r="7" spans="1:52" s="75" customFormat="1" ht="18" customHeight="1" x14ac:dyDescent="0.2">
      <c r="A7" s="80"/>
      <c r="B7" s="80"/>
      <c r="C7" s="80"/>
      <c r="D7" s="88"/>
      <c r="E7" s="88"/>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row>
    <row r="8" spans="1:52" s="75" customFormat="1" ht="71.25" x14ac:dyDescent="0.2">
      <c r="A8" s="95" t="s">
        <v>513</v>
      </c>
      <c r="B8" s="96" t="s">
        <v>520</v>
      </c>
      <c r="C8" s="96"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row>
    <row r="9" spans="1:52" s="75" customFormat="1" ht="31.5" customHeight="1" x14ac:dyDescent="0.25">
      <c r="A9" s="131"/>
      <c r="B9" s="132"/>
      <c r="C9" s="133" t="s">
        <v>230</v>
      </c>
      <c r="D9" s="101"/>
      <c r="E9" s="541"/>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row>
    <row r="10" spans="1:52" s="75" customFormat="1" x14ac:dyDescent="0.25">
      <c r="A10" s="110"/>
      <c r="B10" s="111"/>
      <c r="C10" s="112"/>
      <c r="D10" s="111"/>
      <c r="E10" s="555"/>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Arm4'!D10,Staff_Costs[[#All],[Role]],0),MATCH("Per-minute cost",Staff_Costs[#Headers],0))*'Per-Participant Activities Arm4'!C10)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row>
    <row r="11" spans="1:52" s="75" customFormat="1" x14ac:dyDescent="0.25">
      <c r="A11" s="110"/>
      <c r="B11" s="111"/>
      <c r="C11" s="112"/>
      <c r="D11" s="111"/>
      <c r="E11" s="555"/>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Arm4'!D11,Staff_Costs[[#All],[Role]],0),MATCH("Per-minute cost",Staff_Costs[#Headers],0))*'Per-Participant Activities Arm4'!C11)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row>
    <row r="12" spans="1:52" s="75" customFormat="1" x14ac:dyDescent="0.25">
      <c r="A12" s="110"/>
      <c r="B12" s="118"/>
      <c r="C12" s="112"/>
      <c r="D12" s="118"/>
      <c r="E12" s="55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Arm4'!D12,Staff_Costs[[#All],[Role]],0),MATCH("Per-minute cost",Staff_Costs[#Headers],0))*'Per-Participant Activities Arm4'!C12)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row>
    <row r="13" spans="1:52" s="75" customFormat="1" x14ac:dyDescent="0.25">
      <c r="A13" s="110"/>
      <c r="B13" s="118"/>
      <c r="C13" s="112"/>
      <c r="D13" s="118"/>
      <c r="E13" s="55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Arm4'!D13,Staff_Costs[[#All],[Role]],0),MATCH("Per-minute cost",Staff_Costs[#Headers],0))*'Per-Participant Activities Arm4'!C13)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row>
    <row r="14" spans="1:52" s="75" customFormat="1" x14ac:dyDescent="0.25">
      <c r="A14" s="110"/>
      <c r="B14" s="118"/>
      <c r="C14" s="112"/>
      <c r="D14" s="118"/>
      <c r="E14" s="55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Arm4'!D14,Staff_Costs[[#All],[Role]],0),MATCH("Per-minute cost",Staff_Costs[#Headers],0))*'Per-Participant Activities Arm4'!C14)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row>
    <row r="15" spans="1:52" s="75" customFormat="1" x14ac:dyDescent="0.25">
      <c r="A15" s="110"/>
      <c r="B15" s="118"/>
      <c r="C15" s="112"/>
      <c r="D15" s="118"/>
      <c r="E15" s="55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Arm4'!D15,Staff_Costs[[#All],[Role]],0),MATCH("Per-minute cost",Staff_Costs[#Headers],0))*'Per-Participant Activities Arm4'!C15)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row>
    <row r="16" spans="1:52" s="75" customFormat="1" x14ac:dyDescent="0.25">
      <c r="A16" s="110"/>
      <c r="B16" s="118"/>
      <c r="C16" s="112"/>
      <c r="D16" s="118"/>
      <c r="E16" s="55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Arm4'!D16,Staff_Costs[[#All],[Role]],0),MATCH("Per-minute cost",Staff_Costs[#Headers],0))*'Per-Participant Activities Arm4'!C16)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row>
    <row r="17" spans="1:52" s="75" customFormat="1" x14ac:dyDescent="0.25">
      <c r="A17" s="110"/>
      <c r="B17" s="118"/>
      <c r="C17" s="112"/>
      <c r="D17" s="118"/>
      <c r="E17" s="55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Arm4'!D17,Staff_Costs[[#All],[Role]],0),MATCH("Per-minute cost",Staff_Costs[#Headers],0))*'Per-Participant Activities Arm4'!C17)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row>
    <row r="18" spans="1:52" s="75" customFormat="1" x14ac:dyDescent="0.25">
      <c r="A18" s="110"/>
      <c r="B18" s="118"/>
      <c r="C18" s="112"/>
      <c r="D18" s="118"/>
      <c r="E18" s="55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Arm4'!D18,Staff_Costs[[#All],[Role]],0),MATCH("Per-minute cost",Staff_Costs[#Headers],0))*'Per-Participant Activities Arm4'!C18)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row>
    <row r="19" spans="1:52" s="75" customFormat="1" x14ac:dyDescent="0.25">
      <c r="A19" s="110"/>
      <c r="B19" s="111"/>
      <c r="C19" s="112"/>
      <c r="D19" s="111"/>
      <c r="E19" s="55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Arm4'!D19,Staff_Costs[[#All],[Role]],0),MATCH("Per-minute cost",Staff_Costs[#Headers],0))*'Per-Participant Activities Arm4'!C19)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row>
    <row r="20" spans="1:52" s="75" customFormat="1" x14ac:dyDescent="0.25">
      <c r="A20" s="110"/>
      <c r="B20" s="111"/>
      <c r="C20" s="112"/>
      <c r="D20" s="111"/>
      <c r="E20" s="55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Arm4'!D20,Staff_Costs[[#All],[Role]],0),MATCH("Per-minute cost",Staff_Costs[#Headers],0))*'Per-Participant Activities Arm4'!C20)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row>
    <row r="21" spans="1:52" s="75" customFormat="1" x14ac:dyDescent="0.25">
      <c r="A21" s="110"/>
      <c r="B21" s="111"/>
      <c r="C21" s="112"/>
      <c r="D21" s="111"/>
      <c r="E21" s="55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Arm4'!D21,Staff_Costs[[#All],[Role]],0),MATCH("Per-minute cost",Staff_Costs[#Headers],0))*'Per-Participant Activities Arm4'!C21)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row>
    <row r="22" spans="1:52" s="75" customFormat="1" x14ac:dyDescent="0.25">
      <c r="A22" s="110"/>
      <c r="B22" s="111"/>
      <c r="C22" s="112"/>
      <c r="D22" s="111"/>
      <c r="E22" s="55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Arm4'!D22,Staff_Costs[[#All],[Role]],0),MATCH("Per-minute cost",Staff_Costs[#Headers],0))*'Per-Participant Activities Arm4'!C22)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row>
    <row r="23" spans="1:52" s="75" customFormat="1" x14ac:dyDescent="0.25">
      <c r="A23" s="110"/>
      <c r="B23" s="111"/>
      <c r="C23" s="112"/>
      <c r="D23" s="111"/>
      <c r="E23" s="55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Arm4'!D23,Staff_Costs[[#All],[Role]],0),MATCH("Per-minute cost",Staff_Costs[#Headers],0))*'Per-Participant Activities Arm4'!C23)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row>
    <row r="24" spans="1:52" s="75" customFormat="1" x14ac:dyDescent="0.25">
      <c r="A24" s="110"/>
      <c r="B24" s="111"/>
      <c r="C24" s="112"/>
      <c r="D24" s="111"/>
      <c r="E24" s="55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Arm4'!D24,Staff_Costs[[#All],[Role]],0),MATCH("Per-minute cost",Staff_Costs[#Headers],0))*'Per-Participant Activities Arm4'!C24)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row>
    <row r="25" spans="1:52" s="75" customFormat="1" x14ac:dyDescent="0.25">
      <c r="A25" s="110"/>
      <c r="B25" s="111"/>
      <c r="C25" s="112"/>
      <c r="D25" s="111"/>
      <c r="E25" s="55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Arm4'!D25,Staff_Costs[[#All],[Role]],0),MATCH("Per-minute cost",Staff_Costs[#Headers],0))*'Per-Participant Activities Arm4'!C25)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row>
    <row r="26" spans="1:52" s="75" customFormat="1" x14ac:dyDescent="0.25">
      <c r="A26" s="110"/>
      <c r="B26" s="111"/>
      <c r="C26" s="112"/>
      <c r="D26" s="111"/>
      <c r="E26" s="55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Arm4'!D26,Staff_Costs[[#All],[Role]],0),MATCH("Per-minute cost",Staff_Costs[#Headers],0))*'Per-Participant Activities Arm4'!C26)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row>
    <row r="27" spans="1:52" s="75" customFormat="1" x14ac:dyDescent="0.25">
      <c r="A27" s="110"/>
      <c r="B27" s="111"/>
      <c r="C27" s="112"/>
      <c r="D27" s="111"/>
      <c r="E27" s="55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Arm4'!D27,Staff_Costs[[#All],[Role]],0),MATCH("Per-minute cost",Staff_Costs[#Headers],0))*'Per-Participant Activities Arm4'!C27)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row>
    <row r="28" spans="1:52" s="75" customFormat="1" x14ac:dyDescent="0.25">
      <c r="A28" s="110"/>
      <c r="B28" s="111"/>
      <c r="C28" s="112"/>
      <c r="D28" s="111"/>
      <c r="E28" s="55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Arm4'!D28,Staff_Costs[[#All],[Role]],0),MATCH("Per-minute cost",Staff_Costs[#Headers],0))*'Per-Participant Activities Arm4'!C28)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row>
    <row r="29" spans="1:52" s="75" customFormat="1" x14ac:dyDescent="0.25">
      <c r="A29" s="110"/>
      <c r="B29" s="111"/>
      <c r="C29" s="112"/>
      <c r="D29" s="111"/>
      <c r="E29" s="55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Arm4'!D29,Staff_Costs[[#All],[Role]],0),MATCH("Per-minute cost",Staff_Costs[#Headers],0))*'Per-Participant Activities Arm4'!C29)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row>
    <row r="30" spans="1:52" s="75" customFormat="1" x14ac:dyDescent="0.25">
      <c r="A30" s="110"/>
      <c r="B30" s="111"/>
      <c r="C30" s="112"/>
      <c r="D30" s="111"/>
      <c r="E30" s="55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Arm4'!D30,Staff_Costs[[#All],[Role]],0),MATCH("Per-minute cost",Staff_Costs[#Headers],0))*'Per-Participant Activities Arm4'!C30)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row>
    <row r="31" spans="1:52" s="75" customFormat="1" x14ac:dyDescent="0.25">
      <c r="A31" s="110"/>
      <c r="B31" s="111"/>
      <c r="C31" s="112"/>
      <c r="D31" s="111"/>
      <c r="E31" s="55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Arm4'!D31,Staff_Costs[[#All],[Role]],0),MATCH("Per-minute cost",Staff_Costs[#Headers],0))*'Per-Participant Activities Arm4'!C31)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row>
    <row r="32" spans="1:52" s="75" customFormat="1" x14ac:dyDescent="0.25">
      <c r="A32" s="110"/>
      <c r="B32" s="111"/>
      <c r="C32" s="112"/>
      <c r="D32" s="111"/>
      <c r="E32" s="55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Arm4'!D32,Staff_Costs[[#All],[Role]],0),MATCH("Per-minute cost",Staff_Costs[#Headers],0))*'Per-Participant Activities Arm4'!C32)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row>
    <row r="33" spans="1:52" s="75" customFormat="1" x14ac:dyDescent="0.25">
      <c r="A33" s="110"/>
      <c r="B33" s="111"/>
      <c r="C33" s="112"/>
      <c r="D33" s="111"/>
      <c r="E33" s="55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Arm4'!D33,Staff_Costs[[#All],[Role]],0),MATCH("Per-minute cost",Staff_Costs[#Headers],0))*'Per-Participant Activities Arm4'!C33)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row>
    <row r="34" spans="1:52" s="75" customFormat="1" x14ac:dyDescent="0.25">
      <c r="A34" s="110"/>
      <c r="B34" s="111"/>
      <c r="C34" s="112"/>
      <c r="D34" s="111"/>
      <c r="E34" s="55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Arm4'!D34,Staff_Costs[[#All],[Role]],0),MATCH("Per-minute cost",Staff_Costs[#Headers],0))*'Per-Participant Activities Arm4'!C34)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row>
    <row r="35" spans="1:52" s="75" customFormat="1" x14ac:dyDescent="0.25">
      <c r="A35" s="110"/>
      <c r="B35" s="111"/>
      <c r="C35" s="112"/>
      <c r="D35" s="111"/>
      <c r="E35" s="55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Arm4'!D35,Staff_Costs[[#All],[Role]],0),MATCH("Per-minute cost",Staff_Costs[#Headers],0))*'Per-Participant Activities Arm4'!C35)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row>
    <row r="36" spans="1:52" s="75" customFormat="1" x14ac:dyDescent="0.25">
      <c r="A36" s="110"/>
      <c r="B36" s="111"/>
      <c r="C36" s="112"/>
      <c r="D36" s="111"/>
      <c r="E36" s="55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Arm4'!D36,Staff_Costs[[#All],[Role]],0),MATCH("Per-minute cost",Staff_Costs[#Headers],0))*'Per-Participant Activities Arm4'!C36)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row>
    <row r="37" spans="1:52" s="75" customFormat="1" x14ac:dyDescent="0.25">
      <c r="A37" s="110"/>
      <c r="B37" s="111"/>
      <c r="C37" s="112"/>
      <c r="D37" s="111"/>
      <c r="E37" s="55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Arm4'!D37,Staff_Costs[[#All],[Role]],0),MATCH("Per-minute cost",Staff_Costs[#Headers],0))*'Per-Participant Activities Arm4'!C37)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row>
    <row r="38" spans="1:52" s="75" customFormat="1" x14ac:dyDescent="0.25">
      <c r="A38" s="110"/>
      <c r="B38" s="111"/>
      <c r="C38" s="112"/>
      <c r="D38" s="111"/>
      <c r="E38" s="55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Arm4'!D38,Staff_Costs[[#All],[Role]],0),MATCH("Per-minute cost",Staff_Costs[#Headers],0))*'Per-Participant Activities Arm4'!C38)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row>
    <row r="39" spans="1:52" s="75" customFormat="1" x14ac:dyDescent="0.25">
      <c r="A39" s="110"/>
      <c r="B39" s="111"/>
      <c r="C39" s="112"/>
      <c r="D39" s="111"/>
      <c r="E39" s="55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Arm4'!D39,Staff_Costs[[#All],[Role]],0),MATCH("Per-minute cost",Staff_Costs[#Headers],0))*'Per-Participant Activities Arm4'!C39)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row>
    <row r="40" spans="1:52" s="75" customFormat="1" x14ac:dyDescent="0.25">
      <c r="A40" s="110"/>
      <c r="B40" s="111"/>
      <c r="C40" s="112"/>
      <c r="D40" s="111"/>
      <c r="E40" s="55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Arm4'!D40,Staff_Costs[[#All],[Role]],0),MATCH("Per-minute cost",Staff_Costs[#Headers],0))*'Per-Participant Activities Arm4'!C40)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row>
    <row r="41" spans="1:52" s="75" customFormat="1" x14ac:dyDescent="0.25">
      <c r="A41" s="110"/>
      <c r="B41" s="111"/>
      <c r="C41" s="112"/>
      <c r="D41" s="111"/>
      <c r="E41" s="55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Arm4'!D41,Staff_Costs[[#All],[Role]],0),MATCH("Per-minute cost",Staff_Costs[#Headers],0))*'Per-Participant Activities Arm4'!C41)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row>
    <row r="42" spans="1:52" s="75" customFormat="1" x14ac:dyDescent="0.25">
      <c r="A42" s="110"/>
      <c r="B42" s="111"/>
      <c r="C42" s="112"/>
      <c r="D42" s="111"/>
      <c r="E42" s="55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Arm4'!D42,Staff_Costs[[#All],[Role]],0),MATCH("Per-minute cost",Staff_Costs[#Headers],0))*'Per-Participant Activities Arm4'!C42)</f>
        <v>#N/A</v>
      </c>
      <c r="AJ42" s="117" t="e">
        <f t="shared" si="1"/>
        <v>#N/A</v>
      </c>
      <c r="AK42" s="117" t="e">
        <f t="shared" si="1"/>
        <v>#N/A</v>
      </c>
      <c r="AL42" s="117" t="e">
        <f t="shared" si="1"/>
        <v>#N/A</v>
      </c>
      <c r="AM42" s="117" t="e">
        <f t="shared" si="1"/>
        <v>#N/A</v>
      </c>
      <c r="AN42" s="117" t="e">
        <f t="shared" si="1"/>
        <v>#N/A</v>
      </c>
      <c r="AO42" s="107" t="e">
        <f t="shared" ref="AO42:AO63" si="2">INDEX(Tariff_Activity_Type,MATCH(B42,Tariff_Activity,0))</f>
        <v>#N/A</v>
      </c>
      <c r="AP42" s="80"/>
      <c r="AQ42" s="80"/>
      <c r="AR42" s="80"/>
      <c r="AS42" s="80"/>
      <c r="AT42" s="80"/>
      <c r="AU42" s="80"/>
      <c r="AV42" s="80"/>
      <c r="AW42" s="80"/>
      <c r="AX42" s="80"/>
      <c r="AY42" s="80"/>
      <c r="AZ42" s="80"/>
    </row>
    <row r="43" spans="1:52" s="75" customFormat="1" x14ac:dyDescent="0.25">
      <c r="A43" s="110"/>
      <c r="B43" s="111"/>
      <c r="C43" s="112"/>
      <c r="D43" s="111"/>
      <c r="E43" s="55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Arm4'!D43,Staff_Costs[[#All],[Role]],0),MATCH("Per-minute cost",Staff_Costs[#Headers],0))*'Per-Participant Activities Arm4'!C43)</f>
        <v>#N/A</v>
      </c>
      <c r="AJ43" s="117" t="e">
        <f t="shared" ref="AJ43:AN63"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row>
    <row r="44" spans="1:52" s="75" customFormat="1" x14ac:dyDescent="0.25">
      <c r="A44" s="110"/>
      <c r="B44" s="111"/>
      <c r="C44" s="112"/>
      <c r="D44" s="111"/>
      <c r="E44" s="55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Arm4'!D44,Staff_Costs[[#All],[Role]],0),MATCH("Per-minute cost",Staff_Costs[#Headers],0))*'Per-Participant Activities Arm4'!C44)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row>
    <row r="45" spans="1:52" s="75" customFormat="1" x14ac:dyDescent="0.25">
      <c r="A45" s="110"/>
      <c r="B45" s="111"/>
      <c r="C45" s="112"/>
      <c r="D45" s="111"/>
      <c r="E45" s="55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Arm4'!D45,Staff_Costs[[#All],[Role]],0),MATCH("Per-minute cost",Staff_Costs[#Headers],0))*'Per-Participant Activities Arm4'!C45)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row>
    <row r="46" spans="1:52" s="75" customFormat="1" x14ac:dyDescent="0.25">
      <c r="A46" s="110"/>
      <c r="B46" s="111"/>
      <c r="C46" s="112"/>
      <c r="D46" s="111"/>
      <c r="E46" s="55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Arm4'!D46,Staff_Costs[[#All],[Role]],0),MATCH("Per-minute cost",Staff_Costs[#Headers],0))*'Per-Participant Activities Arm4'!C46)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row>
    <row r="47" spans="1:52" s="75" customFormat="1" x14ac:dyDescent="0.25">
      <c r="A47" s="110"/>
      <c r="B47" s="111"/>
      <c r="C47" s="112"/>
      <c r="D47" s="111"/>
      <c r="E47" s="55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Arm4'!D47,Staff_Costs[[#All],[Role]],0),MATCH("Per-minute cost",Staff_Costs[#Headers],0))*'Per-Participant Activities Arm4'!C47)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row>
    <row r="48" spans="1:52" s="75" customFormat="1" x14ac:dyDescent="0.25">
      <c r="A48" s="110"/>
      <c r="B48" s="111"/>
      <c r="C48" s="112"/>
      <c r="D48" s="111"/>
      <c r="E48" s="55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Arm4'!D48,Staff_Costs[[#All],[Role]],0),MATCH("Per-minute cost",Staff_Costs[#Headers],0))*'Per-Participant Activities Arm4'!C48)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row>
    <row r="49" spans="1:52" s="75" customFormat="1" x14ac:dyDescent="0.25">
      <c r="A49" s="110"/>
      <c r="B49" s="111"/>
      <c r="C49" s="112"/>
      <c r="D49" s="111"/>
      <c r="E49" s="55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Arm4'!D49,Staff_Costs[[#All],[Role]],0),MATCH("Per-minute cost",Staff_Costs[#Headers],0))*'Per-Participant Activities Arm4'!C49)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row>
    <row r="50" spans="1:52" s="75" customFormat="1" x14ac:dyDescent="0.25">
      <c r="A50" s="110"/>
      <c r="B50" s="111"/>
      <c r="C50" s="112"/>
      <c r="D50" s="111"/>
      <c r="E50" s="55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Arm4'!D50,Staff_Costs[[#All],[Role]],0),MATCH("Per-minute cost",Staff_Costs[#Headers],0))*'Per-Participant Activities Arm4'!C50)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row>
    <row r="51" spans="1:52" s="75" customFormat="1" x14ac:dyDescent="0.25">
      <c r="A51" s="110"/>
      <c r="B51" s="111"/>
      <c r="C51" s="112"/>
      <c r="D51" s="111"/>
      <c r="E51" s="55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Arm4'!D51,Staff_Costs[[#All],[Role]],0),MATCH("Per-minute cost",Staff_Costs[#Headers],0))*'Per-Participant Activities Arm4'!C51)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row>
    <row r="52" spans="1:52" s="75" customFormat="1" x14ac:dyDescent="0.25">
      <c r="A52" s="110"/>
      <c r="B52" s="111"/>
      <c r="C52" s="112"/>
      <c r="D52" s="111"/>
      <c r="E52" s="55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Arm4'!D52,Staff_Costs[[#All],[Role]],0),MATCH("Per-minute cost",Staff_Costs[#Headers],0))*'Per-Participant Activities Arm4'!C52)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row>
    <row r="53" spans="1:52" s="75" customFormat="1" x14ac:dyDescent="0.25">
      <c r="A53" s="110"/>
      <c r="B53" s="111"/>
      <c r="C53" s="112"/>
      <c r="D53" s="111"/>
      <c r="E53" s="55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Arm4'!D53,Staff_Costs[[#All],[Role]],0),MATCH("Per-minute cost",Staff_Costs[#Headers],0))*'Per-Participant Activities Arm4'!C53)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row>
    <row r="54" spans="1:52" s="75" customFormat="1" x14ac:dyDescent="0.25">
      <c r="A54" s="110"/>
      <c r="B54" s="111"/>
      <c r="C54" s="112"/>
      <c r="D54" s="111"/>
      <c r="E54" s="55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Arm4'!D54,Staff_Costs[[#All],[Role]],0),MATCH("Per-minute cost",Staff_Costs[#Headers],0))*'Per-Participant Activities Arm4'!C54)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row>
    <row r="55" spans="1:52" s="75" customFormat="1" x14ac:dyDescent="0.25">
      <c r="A55" s="110"/>
      <c r="B55" s="111"/>
      <c r="C55" s="112"/>
      <c r="D55" s="111"/>
      <c r="E55" s="55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Arm4'!D55,Staff_Costs[[#All],[Role]],0),MATCH("Per-minute cost",Staff_Costs[#Headers],0))*'Per-Participant Activities Arm4'!C55)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row>
    <row r="56" spans="1:52" s="75" customFormat="1" x14ac:dyDescent="0.25">
      <c r="A56" s="110"/>
      <c r="B56" s="111"/>
      <c r="C56" s="112"/>
      <c r="D56" s="111"/>
      <c r="E56" s="55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Arm4'!D56,Staff_Costs[[#All],[Role]],0),MATCH("Per-minute cost",Staff_Costs[#Headers],0))*'Per-Participant Activities Arm4'!C56)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row>
    <row r="57" spans="1:52" s="75" customFormat="1" x14ac:dyDescent="0.25">
      <c r="A57" s="110"/>
      <c r="B57" s="111"/>
      <c r="C57" s="112"/>
      <c r="D57" s="111"/>
      <c r="E57" s="55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Arm4'!D57,Staff_Costs[[#All],[Role]],0),MATCH("Per-minute cost",Staff_Costs[#Headers],0))*'Per-Participant Activities Arm4'!C57)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row>
    <row r="58" spans="1:52" s="75" customFormat="1" x14ac:dyDescent="0.25">
      <c r="A58" s="110"/>
      <c r="B58" s="111"/>
      <c r="C58" s="112"/>
      <c r="D58" s="111"/>
      <c r="E58" s="55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Arm4'!D58,Staff_Costs[[#All],[Role]],0),MATCH("Per-minute cost",Staff_Costs[#Headers],0))*'Per-Participant Activities Arm4'!C58)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row>
    <row r="59" spans="1:52" s="75" customFormat="1" x14ac:dyDescent="0.25">
      <c r="A59" s="110"/>
      <c r="B59" s="111"/>
      <c r="C59" s="112"/>
      <c r="D59" s="111"/>
      <c r="E59" s="55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Arm4'!D59,Staff_Costs[[#All],[Role]],0),MATCH("Per-minute cost",Staff_Costs[#Headers],0))*'Per-Participant Activities Arm4'!C59)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row>
    <row r="60" spans="1:52" s="75" customFormat="1" x14ac:dyDescent="0.25">
      <c r="A60" s="110"/>
      <c r="B60" s="111"/>
      <c r="C60" s="112"/>
      <c r="D60" s="111"/>
      <c r="E60" s="55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Arm4'!D60,Staff_Costs[[#All],[Role]],0),MATCH("Per-minute cost",Staff_Costs[#Headers],0))*'Per-Participant Activities Arm4'!C60)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row>
    <row r="61" spans="1:52" s="75" customFormat="1" x14ac:dyDescent="0.25">
      <c r="A61" s="110"/>
      <c r="B61" s="111"/>
      <c r="C61" s="112"/>
      <c r="D61" s="111"/>
      <c r="E61" s="55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Arm4'!D61,Staff_Costs[[#All],[Role]],0),MATCH("Per-minute cost",Staff_Costs[#Headers],0))*'Per-Participant Activities Arm4'!C61)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row>
    <row r="62" spans="1:52" s="75" customFormat="1" x14ac:dyDescent="0.25">
      <c r="A62" s="110"/>
      <c r="B62" s="111"/>
      <c r="C62" s="112"/>
      <c r="D62" s="111"/>
      <c r="E62" s="55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Arm4'!D62,Staff_Costs[[#All],[Role]],0),MATCH("Per-minute cost",Staff_Costs[#Headers],0))*'Per-Participant Activities Arm4'!C62)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row>
    <row r="63" spans="1:52" s="75" customFormat="1" x14ac:dyDescent="0.25">
      <c r="A63" s="110"/>
      <c r="B63" s="111"/>
      <c r="C63" s="112"/>
      <c r="D63" s="111"/>
      <c r="E63" s="55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Arm4'!D63,Staff_Costs[[#All],[Role]],0),MATCH("Per-minute cost",Staff_Costs[#Headers],0))*'Per-Participant Activities Arm4'!C63)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row>
    <row r="64" spans="1:52" s="75" customFormat="1" x14ac:dyDescent="0.25">
      <c r="A64" s="110"/>
      <c r="B64" s="111"/>
      <c r="C64" s="112"/>
      <c r="D64" s="111"/>
      <c r="E64" s="555"/>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5"/>
      <c r="AI64" s="116" t="e">
        <f>IF(INDEX(TARIFF_TABLE[#All], MATCH($B64,TARIFF_TABLE[[#All],[Activity]],0),MATCH("ActivityType",TARIFF_TABLE[#Headers]))="Investigation",INDEX(TARIFF_TABLE[#All], MATCH($B64,TARIFF_TABLE[[#All],[Activity]],0),MATCH("Cost",TARIFF_TABLE[#Headers],0)),INDEX(Staff_Costs[#All],MATCH('Per-Participant Activities Arm4'!D64,Staff_Costs[[#All],[Role]],0),MATCH("Per-minute cost",Staff_Costs[#Headers],0))*'Per-Participant Activities Arm4'!C64)</f>
        <v>#N/A</v>
      </c>
      <c r="AJ64" s="117" t="e">
        <f t="shared" ref="AJ64:AJ110" si="4">COUNTIF($F64:$AG64, AJ$8)*$AI64</f>
        <v>#N/A</v>
      </c>
      <c r="AK64" s="117" t="e">
        <f t="shared" ref="AK64:AK110" si="5">COUNTIF($F64:$AG64, AK$8)*$AI64</f>
        <v>#N/A</v>
      </c>
      <c r="AL64" s="117" t="e">
        <f t="shared" ref="AL64:AL110" si="6">COUNTIF($F64:$AG64, AL$8)*$AI64</f>
        <v>#N/A</v>
      </c>
      <c r="AM64" s="117" t="e">
        <f t="shared" ref="AM64:AM110" si="7">COUNTIF($F64:$AG64, AM$8)*$AI64</f>
        <v>#N/A</v>
      </c>
      <c r="AN64" s="117" t="e">
        <f t="shared" ref="AN64:AN110" si="8">COUNTIF($F64:$AG64, AN$8)*$AI64</f>
        <v>#N/A</v>
      </c>
      <c r="AO64" s="107" t="e">
        <f>INDEX('Tariff (hidden)'!$B$4:$B$133,MATCH(B64,'Tariff (hidden)'!$A$4:$A$133,0))</f>
        <v>#N/A</v>
      </c>
      <c r="AP64" s="80"/>
      <c r="AQ64" s="80"/>
      <c r="AR64" s="80"/>
      <c r="AS64" s="80"/>
      <c r="AT64" s="80"/>
      <c r="AU64" s="80"/>
      <c r="AV64" s="80"/>
      <c r="AW64" s="80"/>
      <c r="AX64" s="80"/>
      <c r="AY64" s="80"/>
      <c r="AZ64" s="80"/>
    </row>
    <row r="65" spans="1:52" s="75" customFormat="1" x14ac:dyDescent="0.25">
      <c r="A65" s="110"/>
      <c r="B65" s="111"/>
      <c r="C65" s="112"/>
      <c r="D65" s="111"/>
      <c r="E65" s="555"/>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5"/>
      <c r="AI65" s="116" t="e">
        <f>IF(INDEX(TARIFF_TABLE[#All], MATCH($B65,TARIFF_TABLE[[#All],[Activity]],0),MATCH("ActivityType",TARIFF_TABLE[#Headers]))="Investigation",INDEX(TARIFF_TABLE[#All], MATCH($B65,TARIFF_TABLE[[#All],[Activity]],0),MATCH("Cost",TARIFF_TABLE[#Headers],0)),INDEX(Staff_Costs[#All],MATCH('Per-Participant Activities Arm4'!D65,Staff_Costs[[#All],[Role]],0),MATCH("Per-minute cost",Staff_Costs[#Headers],0))*'Per-Participant Activities Arm4'!C65)</f>
        <v>#N/A</v>
      </c>
      <c r="AJ65" s="117" t="e">
        <f t="shared" si="4"/>
        <v>#N/A</v>
      </c>
      <c r="AK65" s="117" t="e">
        <f t="shared" si="5"/>
        <v>#N/A</v>
      </c>
      <c r="AL65" s="117" t="e">
        <f t="shared" si="6"/>
        <v>#N/A</v>
      </c>
      <c r="AM65" s="117" t="e">
        <f t="shared" si="7"/>
        <v>#N/A</v>
      </c>
      <c r="AN65" s="117" t="e">
        <f t="shared" si="8"/>
        <v>#N/A</v>
      </c>
      <c r="AO65" s="107" t="e">
        <f>INDEX('Tariff (hidden)'!$B$4:$B$133,MATCH(B65,'Tariff (hidden)'!$A$4:$A$133,0))</f>
        <v>#N/A</v>
      </c>
      <c r="AP65" s="80"/>
      <c r="AQ65" s="80"/>
      <c r="AR65" s="80"/>
      <c r="AS65" s="80"/>
      <c r="AT65" s="80"/>
      <c r="AU65" s="80"/>
      <c r="AV65" s="80"/>
      <c r="AW65" s="80"/>
      <c r="AX65" s="80"/>
      <c r="AY65" s="80"/>
      <c r="AZ65" s="80"/>
    </row>
    <row r="66" spans="1:52" s="75" customFormat="1" x14ac:dyDescent="0.25">
      <c r="A66" s="110"/>
      <c r="B66" s="111"/>
      <c r="C66" s="112"/>
      <c r="D66" s="111"/>
      <c r="E66" s="555"/>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5"/>
      <c r="AI66" s="116" t="e">
        <f>IF(INDEX(TARIFF_TABLE[#All], MATCH($B66,TARIFF_TABLE[[#All],[Activity]],0),MATCH("ActivityType",TARIFF_TABLE[#Headers]))="Investigation",INDEX(TARIFF_TABLE[#All], MATCH($B66,TARIFF_TABLE[[#All],[Activity]],0),MATCH("Cost",TARIFF_TABLE[#Headers],0)),INDEX(Staff_Costs[#All],MATCH('Per-Participant Activities Arm4'!D66,Staff_Costs[[#All],[Role]],0),MATCH("Per-minute cost",Staff_Costs[#Headers],0))*'Per-Participant Activities Arm4'!C66)</f>
        <v>#N/A</v>
      </c>
      <c r="AJ66" s="117" t="e">
        <f t="shared" si="4"/>
        <v>#N/A</v>
      </c>
      <c r="AK66" s="117" t="e">
        <f t="shared" si="5"/>
        <v>#N/A</v>
      </c>
      <c r="AL66" s="117" t="e">
        <f t="shared" si="6"/>
        <v>#N/A</v>
      </c>
      <c r="AM66" s="117" t="e">
        <f t="shared" si="7"/>
        <v>#N/A</v>
      </c>
      <c r="AN66" s="117" t="e">
        <f t="shared" si="8"/>
        <v>#N/A</v>
      </c>
      <c r="AO66" s="107" t="e">
        <f>INDEX('Tariff (hidden)'!$B$4:$B$133,MATCH(B66,'Tariff (hidden)'!$A$4:$A$133,0))</f>
        <v>#N/A</v>
      </c>
      <c r="AP66" s="80"/>
      <c r="AQ66" s="80"/>
      <c r="AR66" s="80"/>
      <c r="AS66" s="80"/>
      <c r="AT66" s="80"/>
      <c r="AU66" s="80"/>
      <c r="AV66" s="80"/>
      <c r="AW66" s="80"/>
      <c r="AX66" s="80"/>
      <c r="AY66" s="80"/>
      <c r="AZ66" s="80"/>
    </row>
    <row r="67" spans="1:52" s="75" customFormat="1" x14ac:dyDescent="0.25">
      <c r="A67" s="110"/>
      <c r="B67" s="111"/>
      <c r="C67" s="112"/>
      <c r="D67" s="111"/>
      <c r="E67" s="555"/>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5"/>
      <c r="AI67" s="116" t="e">
        <f>IF(INDEX(TARIFF_TABLE[#All], MATCH($B67,TARIFF_TABLE[[#All],[Activity]],0),MATCH("ActivityType",TARIFF_TABLE[#Headers]))="Investigation",INDEX(TARIFF_TABLE[#All], MATCH($B67,TARIFF_TABLE[[#All],[Activity]],0),MATCH("Cost",TARIFF_TABLE[#Headers],0)),INDEX(Staff_Costs[#All],MATCH('Per-Participant Activities Arm4'!D67,Staff_Costs[[#All],[Role]],0),MATCH("Per-minute cost",Staff_Costs[#Headers],0))*'Per-Participant Activities Arm4'!C67)</f>
        <v>#N/A</v>
      </c>
      <c r="AJ67" s="117" t="e">
        <f t="shared" si="4"/>
        <v>#N/A</v>
      </c>
      <c r="AK67" s="117" t="e">
        <f t="shared" si="5"/>
        <v>#N/A</v>
      </c>
      <c r="AL67" s="117" t="e">
        <f t="shared" si="6"/>
        <v>#N/A</v>
      </c>
      <c r="AM67" s="117" t="e">
        <f t="shared" si="7"/>
        <v>#N/A</v>
      </c>
      <c r="AN67" s="117" t="e">
        <f t="shared" si="8"/>
        <v>#N/A</v>
      </c>
      <c r="AO67" s="107" t="e">
        <f>INDEX('Tariff (hidden)'!$B$4:$B$133,MATCH(B67,'Tariff (hidden)'!$A$4:$A$133,0))</f>
        <v>#N/A</v>
      </c>
      <c r="AP67" s="80"/>
      <c r="AQ67" s="80"/>
      <c r="AR67" s="80"/>
      <c r="AS67" s="80"/>
      <c r="AT67" s="80"/>
      <c r="AU67" s="80"/>
      <c r="AV67" s="80"/>
      <c r="AW67" s="80"/>
      <c r="AX67" s="80"/>
      <c r="AY67" s="80"/>
      <c r="AZ67" s="80"/>
    </row>
    <row r="68" spans="1:52" s="75" customFormat="1" x14ac:dyDescent="0.25">
      <c r="A68" s="110"/>
      <c r="B68" s="111"/>
      <c r="C68" s="112"/>
      <c r="D68" s="111"/>
      <c r="E68" s="555"/>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5"/>
      <c r="AI68" s="116" t="e">
        <f>IF(INDEX(TARIFF_TABLE[#All], MATCH($B68,TARIFF_TABLE[[#All],[Activity]],0),MATCH("ActivityType",TARIFF_TABLE[#Headers]))="Investigation",INDEX(TARIFF_TABLE[#All], MATCH($B68,TARIFF_TABLE[[#All],[Activity]],0),MATCH("Cost",TARIFF_TABLE[#Headers],0)),INDEX(Staff_Costs[#All],MATCH('Per-Participant Activities Arm4'!D68,Staff_Costs[[#All],[Role]],0),MATCH("Per-minute cost",Staff_Costs[#Headers],0))*'Per-Participant Activities Arm4'!C68)</f>
        <v>#N/A</v>
      </c>
      <c r="AJ68" s="117" t="e">
        <f t="shared" si="4"/>
        <v>#N/A</v>
      </c>
      <c r="AK68" s="117" t="e">
        <f t="shared" si="5"/>
        <v>#N/A</v>
      </c>
      <c r="AL68" s="117" t="e">
        <f t="shared" si="6"/>
        <v>#N/A</v>
      </c>
      <c r="AM68" s="117" t="e">
        <f t="shared" si="7"/>
        <v>#N/A</v>
      </c>
      <c r="AN68" s="117" t="e">
        <f t="shared" si="8"/>
        <v>#N/A</v>
      </c>
      <c r="AO68" s="107" t="e">
        <f>INDEX('Tariff (hidden)'!$B$4:$B$133,MATCH(B68,'Tariff (hidden)'!$A$4:$A$133,0))</f>
        <v>#N/A</v>
      </c>
      <c r="AP68" s="80"/>
      <c r="AQ68" s="80"/>
      <c r="AR68" s="80"/>
      <c r="AS68" s="80"/>
      <c r="AT68" s="80"/>
      <c r="AU68" s="80"/>
      <c r="AV68" s="80"/>
      <c r="AW68" s="80"/>
      <c r="AX68" s="80"/>
      <c r="AY68" s="80"/>
      <c r="AZ68" s="80"/>
    </row>
    <row r="69" spans="1:52" s="75" customFormat="1" x14ac:dyDescent="0.25">
      <c r="A69" s="110"/>
      <c r="B69" s="111"/>
      <c r="C69" s="112"/>
      <c r="D69" s="111"/>
      <c r="E69" s="555"/>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5"/>
      <c r="AI69" s="116" t="e">
        <f>IF(INDEX(TARIFF_TABLE[#All], MATCH($B69,TARIFF_TABLE[[#All],[Activity]],0),MATCH("ActivityType",TARIFF_TABLE[#Headers]))="Investigation",INDEX(TARIFF_TABLE[#All], MATCH($B69,TARIFF_TABLE[[#All],[Activity]],0),MATCH("Cost",TARIFF_TABLE[#Headers],0)),INDEX(Staff_Costs[#All],MATCH('Per-Participant Activities Arm4'!D69,Staff_Costs[[#All],[Role]],0),MATCH("Per-minute cost",Staff_Costs[#Headers],0))*'Per-Participant Activities Arm4'!C69)</f>
        <v>#N/A</v>
      </c>
      <c r="AJ69" s="117" t="e">
        <f t="shared" si="4"/>
        <v>#N/A</v>
      </c>
      <c r="AK69" s="117" t="e">
        <f t="shared" si="5"/>
        <v>#N/A</v>
      </c>
      <c r="AL69" s="117" t="e">
        <f t="shared" si="6"/>
        <v>#N/A</v>
      </c>
      <c r="AM69" s="117" t="e">
        <f t="shared" si="7"/>
        <v>#N/A</v>
      </c>
      <c r="AN69" s="117" t="e">
        <f t="shared" si="8"/>
        <v>#N/A</v>
      </c>
      <c r="AO69" s="107" t="e">
        <f>INDEX('Tariff (hidden)'!$B$4:$B$133,MATCH(B69,'Tariff (hidden)'!$A$4:$A$133,0))</f>
        <v>#N/A</v>
      </c>
      <c r="AP69" s="80"/>
      <c r="AQ69" s="80"/>
      <c r="AR69" s="80"/>
      <c r="AS69" s="80"/>
      <c r="AT69" s="80"/>
      <c r="AU69" s="80"/>
      <c r="AV69" s="80"/>
      <c r="AW69" s="80"/>
      <c r="AX69" s="80"/>
      <c r="AY69" s="80"/>
      <c r="AZ69" s="80"/>
    </row>
    <row r="70" spans="1:52" s="75" customFormat="1" x14ac:dyDescent="0.25">
      <c r="A70" s="110"/>
      <c r="B70" s="111"/>
      <c r="C70" s="112"/>
      <c r="D70" s="111"/>
      <c r="E70" s="555"/>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5"/>
      <c r="AI70" s="116" t="e">
        <f>IF(INDEX(TARIFF_TABLE[#All], MATCH($B70,TARIFF_TABLE[[#All],[Activity]],0),MATCH("ActivityType",TARIFF_TABLE[#Headers]))="Investigation",INDEX(TARIFF_TABLE[#All], MATCH($B70,TARIFF_TABLE[[#All],[Activity]],0),MATCH("Cost",TARIFF_TABLE[#Headers],0)),INDEX(Staff_Costs[#All],MATCH('Per-Participant Activities Arm4'!D70,Staff_Costs[[#All],[Role]],0),MATCH("Per-minute cost",Staff_Costs[#Headers],0))*'Per-Participant Activities Arm4'!C70)</f>
        <v>#N/A</v>
      </c>
      <c r="AJ70" s="117" t="e">
        <f t="shared" si="4"/>
        <v>#N/A</v>
      </c>
      <c r="AK70" s="117" t="e">
        <f t="shared" si="5"/>
        <v>#N/A</v>
      </c>
      <c r="AL70" s="117" t="e">
        <f t="shared" si="6"/>
        <v>#N/A</v>
      </c>
      <c r="AM70" s="117" t="e">
        <f t="shared" si="7"/>
        <v>#N/A</v>
      </c>
      <c r="AN70" s="117" t="e">
        <f t="shared" si="8"/>
        <v>#N/A</v>
      </c>
      <c r="AO70" s="107" t="e">
        <f>INDEX('Tariff (hidden)'!$B$4:$B$133,MATCH(B70,'Tariff (hidden)'!$A$4:$A$133,0))</f>
        <v>#N/A</v>
      </c>
      <c r="AP70" s="80"/>
      <c r="AQ70" s="80"/>
      <c r="AR70" s="80"/>
      <c r="AS70" s="80"/>
      <c r="AT70" s="80"/>
      <c r="AU70" s="80"/>
      <c r="AV70" s="80"/>
      <c r="AW70" s="80"/>
      <c r="AX70" s="80"/>
      <c r="AY70" s="80"/>
      <c r="AZ70" s="80"/>
    </row>
    <row r="71" spans="1:52" s="75" customFormat="1" x14ac:dyDescent="0.25">
      <c r="A71" s="110"/>
      <c r="B71" s="111"/>
      <c r="C71" s="112"/>
      <c r="D71" s="111"/>
      <c r="E71" s="555"/>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5"/>
      <c r="AI71" s="116" t="e">
        <f>IF(INDEX(TARIFF_TABLE[#All], MATCH($B71,TARIFF_TABLE[[#All],[Activity]],0),MATCH("ActivityType",TARIFF_TABLE[#Headers]))="Investigation",INDEX(TARIFF_TABLE[#All], MATCH($B71,TARIFF_TABLE[[#All],[Activity]],0),MATCH("Cost",TARIFF_TABLE[#Headers],0)),INDEX(Staff_Costs[#All],MATCH('Per-Participant Activities Arm4'!D71,Staff_Costs[[#All],[Role]],0),MATCH("Per-minute cost",Staff_Costs[#Headers],0))*'Per-Participant Activities Arm4'!C71)</f>
        <v>#N/A</v>
      </c>
      <c r="AJ71" s="117" t="e">
        <f t="shared" si="4"/>
        <v>#N/A</v>
      </c>
      <c r="AK71" s="117" t="e">
        <f t="shared" si="5"/>
        <v>#N/A</v>
      </c>
      <c r="AL71" s="117" t="e">
        <f t="shared" si="6"/>
        <v>#N/A</v>
      </c>
      <c r="AM71" s="117" t="e">
        <f t="shared" si="7"/>
        <v>#N/A</v>
      </c>
      <c r="AN71" s="117" t="e">
        <f t="shared" si="8"/>
        <v>#N/A</v>
      </c>
      <c r="AO71" s="107" t="e">
        <f>INDEX('Tariff (hidden)'!$B$4:$B$133,MATCH(B71,'Tariff (hidden)'!$A$4:$A$133,0))</f>
        <v>#N/A</v>
      </c>
      <c r="AP71" s="80"/>
      <c r="AQ71" s="80"/>
      <c r="AR71" s="80"/>
      <c r="AS71" s="80"/>
      <c r="AT71" s="80"/>
      <c r="AU71" s="80"/>
      <c r="AV71" s="80"/>
      <c r="AW71" s="80"/>
      <c r="AX71" s="80"/>
      <c r="AY71" s="80"/>
      <c r="AZ71" s="80"/>
    </row>
    <row r="72" spans="1:52" s="75" customFormat="1" x14ac:dyDescent="0.25">
      <c r="A72" s="110"/>
      <c r="B72" s="111"/>
      <c r="C72" s="112"/>
      <c r="D72" s="111"/>
      <c r="E72" s="555"/>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5"/>
      <c r="AI72" s="116" t="e">
        <f>IF(INDEX(TARIFF_TABLE[#All], MATCH($B72,TARIFF_TABLE[[#All],[Activity]],0),MATCH("ActivityType",TARIFF_TABLE[#Headers]))="Investigation",INDEX(TARIFF_TABLE[#All], MATCH($B72,TARIFF_TABLE[[#All],[Activity]],0),MATCH("Cost",TARIFF_TABLE[#Headers],0)),INDEX(Staff_Costs[#All],MATCH('Per-Participant Activities Arm4'!D72,Staff_Costs[[#All],[Role]],0),MATCH("Per-minute cost",Staff_Costs[#Headers],0))*'Per-Participant Activities Arm4'!C72)</f>
        <v>#N/A</v>
      </c>
      <c r="AJ72" s="117" t="e">
        <f t="shared" si="4"/>
        <v>#N/A</v>
      </c>
      <c r="AK72" s="117" t="e">
        <f t="shared" si="5"/>
        <v>#N/A</v>
      </c>
      <c r="AL72" s="117" t="e">
        <f t="shared" si="6"/>
        <v>#N/A</v>
      </c>
      <c r="AM72" s="117" t="e">
        <f t="shared" si="7"/>
        <v>#N/A</v>
      </c>
      <c r="AN72" s="117" t="e">
        <f t="shared" si="8"/>
        <v>#N/A</v>
      </c>
      <c r="AO72" s="107" t="e">
        <f>INDEX('Tariff (hidden)'!$B$4:$B$133,MATCH(B72,'Tariff (hidden)'!$A$4:$A$133,0))</f>
        <v>#N/A</v>
      </c>
      <c r="AP72" s="80"/>
      <c r="AQ72" s="80"/>
      <c r="AR72" s="80"/>
      <c r="AS72" s="80"/>
      <c r="AT72" s="80"/>
      <c r="AU72" s="80"/>
      <c r="AV72" s="80"/>
      <c r="AW72" s="80"/>
      <c r="AX72" s="80"/>
      <c r="AY72" s="80"/>
      <c r="AZ72" s="80"/>
    </row>
    <row r="73" spans="1:52" s="75" customFormat="1" x14ac:dyDescent="0.25">
      <c r="A73" s="110"/>
      <c r="B73" s="111"/>
      <c r="C73" s="112"/>
      <c r="D73" s="111"/>
      <c r="E73" s="555"/>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5"/>
      <c r="AI73" s="116" t="e">
        <f>IF(INDEX(TARIFF_TABLE[#All], MATCH($B73,TARIFF_TABLE[[#All],[Activity]],0),MATCH("ActivityType",TARIFF_TABLE[#Headers]))="Investigation",INDEX(TARIFF_TABLE[#All], MATCH($B73,TARIFF_TABLE[[#All],[Activity]],0),MATCH("Cost",TARIFF_TABLE[#Headers],0)),INDEX(Staff_Costs[#All],MATCH('Per-Participant Activities Arm4'!D73,Staff_Costs[[#All],[Role]],0),MATCH("Per-minute cost",Staff_Costs[#Headers],0))*'Per-Participant Activities Arm4'!C73)</f>
        <v>#N/A</v>
      </c>
      <c r="AJ73" s="117" t="e">
        <f t="shared" si="4"/>
        <v>#N/A</v>
      </c>
      <c r="AK73" s="117" t="e">
        <f t="shared" si="5"/>
        <v>#N/A</v>
      </c>
      <c r="AL73" s="117" t="e">
        <f t="shared" si="6"/>
        <v>#N/A</v>
      </c>
      <c r="AM73" s="117" t="e">
        <f t="shared" si="7"/>
        <v>#N/A</v>
      </c>
      <c r="AN73" s="117" t="e">
        <f t="shared" si="8"/>
        <v>#N/A</v>
      </c>
      <c r="AO73" s="107" t="e">
        <f>INDEX('Tariff (hidden)'!$B$4:$B$133,MATCH(B73,'Tariff (hidden)'!$A$4:$A$133,0))</f>
        <v>#N/A</v>
      </c>
      <c r="AP73" s="80"/>
      <c r="AQ73" s="80"/>
      <c r="AR73" s="80"/>
      <c r="AS73" s="80"/>
      <c r="AT73" s="80"/>
      <c r="AU73" s="80"/>
      <c r="AV73" s="80"/>
      <c r="AW73" s="80"/>
      <c r="AX73" s="80"/>
      <c r="AY73" s="80"/>
      <c r="AZ73" s="80"/>
    </row>
    <row r="74" spans="1:52" s="75" customFormat="1" x14ac:dyDescent="0.25">
      <c r="A74" s="110"/>
      <c r="B74" s="111"/>
      <c r="C74" s="112"/>
      <c r="D74" s="111"/>
      <c r="E74" s="555"/>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5"/>
      <c r="AI74" s="116" t="e">
        <f>IF(INDEX(TARIFF_TABLE[#All], MATCH($B74,TARIFF_TABLE[[#All],[Activity]],0),MATCH("ActivityType",TARIFF_TABLE[#Headers]))="Investigation",INDEX(TARIFF_TABLE[#All], MATCH($B74,TARIFF_TABLE[[#All],[Activity]],0),MATCH("Cost",TARIFF_TABLE[#Headers],0)),INDEX(Staff_Costs[#All],MATCH('Per-Participant Activities Arm4'!D74,Staff_Costs[[#All],[Role]],0),MATCH("Per-minute cost",Staff_Costs[#Headers],0))*'Per-Participant Activities Arm4'!C74)</f>
        <v>#N/A</v>
      </c>
      <c r="AJ74" s="117" t="e">
        <f t="shared" si="4"/>
        <v>#N/A</v>
      </c>
      <c r="AK74" s="117" t="e">
        <f t="shared" si="5"/>
        <v>#N/A</v>
      </c>
      <c r="AL74" s="117" t="e">
        <f t="shared" si="6"/>
        <v>#N/A</v>
      </c>
      <c r="AM74" s="117" t="e">
        <f t="shared" si="7"/>
        <v>#N/A</v>
      </c>
      <c r="AN74" s="117" t="e">
        <f t="shared" si="8"/>
        <v>#N/A</v>
      </c>
      <c r="AO74" s="107" t="e">
        <f>INDEX('Tariff (hidden)'!$B$4:$B$133,MATCH(B74,'Tariff (hidden)'!$A$4:$A$133,0))</f>
        <v>#N/A</v>
      </c>
      <c r="AP74" s="80"/>
      <c r="AQ74" s="80"/>
      <c r="AR74" s="80"/>
      <c r="AS74" s="80"/>
      <c r="AT74" s="80"/>
      <c r="AU74" s="80"/>
      <c r="AV74" s="80"/>
      <c r="AW74" s="80"/>
      <c r="AX74" s="80"/>
      <c r="AY74" s="80"/>
      <c r="AZ74" s="80"/>
    </row>
    <row r="75" spans="1:52" s="75" customFormat="1" x14ac:dyDescent="0.25">
      <c r="A75" s="110"/>
      <c r="B75" s="111"/>
      <c r="C75" s="112"/>
      <c r="D75" s="111"/>
      <c r="E75" s="555"/>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5"/>
      <c r="AI75" s="116" t="e">
        <f>IF(INDEX(TARIFF_TABLE[#All], MATCH($B75,TARIFF_TABLE[[#All],[Activity]],0),MATCH("ActivityType",TARIFF_TABLE[#Headers]))="Investigation",INDEX(TARIFF_TABLE[#All], MATCH($B75,TARIFF_TABLE[[#All],[Activity]],0),MATCH("Cost",TARIFF_TABLE[#Headers],0)),INDEX(Staff_Costs[#All],MATCH('Per-Participant Activities Arm4'!D75,Staff_Costs[[#All],[Role]],0),MATCH("Per-minute cost",Staff_Costs[#Headers],0))*'Per-Participant Activities Arm4'!C75)</f>
        <v>#N/A</v>
      </c>
      <c r="AJ75" s="117" t="e">
        <f t="shared" si="4"/>
        <v>#N/A</v>
      </c>
      <c r="AK75" s="117" t="e">
        <f t="shared" si="5"/>
        <v>#N/A</v>
      </c>
      <c r="AL75" s="117" t="e">
        <f t="shared" si="6"/>
        <v>#N/A</v>
      </c>
      <c r="AM75" s="117" t="e">
        <f t="shared" si="7"/>
        <v>#N/A</v>
      </c>
      <c r="AN75" s="117" t="e">
        <f t="shared" si="8"/>
        <v>#N/A</v>
      </c>
      <c r="AO75" s="107" t="e">
        <f>INDEX('Tariff (hidden)'!$B$4:$B$133,MATCH(B75,'Tariff (hidden)'!$A$4:$A$133,0))</f>
        <v>#N/A</v>
      </c>
      <c r="AP75" s="80"/>
      <c r="AQ75" s="80"/>
      <c r="AR75" s="80"/>
      <c r="AS75" s="80"/>
      <c r="AT75" s="80"/>
      <c r="AU75" s="80"/>
      <c r="AV75" s="80"/>
      <c r="AW75" s="80"/>
      <c r="AX75" s="80"/>
      <c r="AY75" s="80"/>
      <c r="AZ75" s="80"/>
    </row>
    <row r="76" spans="1:52" s="75" customFormat="1" x14ac:dyDescent="0.25">
      <c r="A76" s="110"/>
      <c r="B76" s="111"/>
      <c r="C76" s="112"/>
      <c r="D76" s="111"/>
      <c r="E76" s="555"/>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5"/>
      <c r="AI76" s="116" t="e">
        <f>IF(INDEX(TARIFF_TABLE[#All], MATCH($B76,TARIFF_TABLE[[#All],[Activity]],0),MATCH("ActivityType",TARIFF_TABLE[#Headers]))="Investigation",INDEX(TARIFF_TABLE[#All], MATCH($B76,TARIFF_TABLE[[#All],[Activity]],0),MATCH("Cost",TARIFF_TABLE[#Headers],0)),INDEX(Staff_Costs[#All],MATCH('Per-Participant Activities Arm4'!D76,Staff_Costs[[#All],[Role]],0),MATCH("Per-minute cost",Staff_Costs[#Headers],0))*'Per-Participant Activities Arm4'!C76)</f>
        <v>#N/A</v>
      </c>
      <c r="AJ76" s="117" t="e">
        <f t="shared" si="4"/>
        <v>#N/A</v>
      </c>
      <c r="AK76" s="117" t="e">
        <f t="shared" si="5"/>
        <v>#N/A</v>
      </c>
      <c r="AL76" s="117" t="e">
        <f t="shared" si="6"/>
        <v>#N/A</v>
      </c>
      <c r="AM76" s="117" t="e">
        <f t="shared" si="7"/>
        <v>#N/A</v>
      </c>
      <c r="AN76" s="117" t="e">
        <f t="shared" si="8"/>
        <v>#N/A</v>
      </c>
      <c r="AO76" s="107" t="e">
        <f>INDEX('Tariff (hidden)'!$B$4:$B$133,MATCH(B76,'Tariff (hidden)'!$A$4:$A$133,0))</f>
        <v>#N/A</v>
      </c>
      <c r="AP76" s="80"/>
      <c r="AQ76" s="80"/>
      <c r="AR76" s="80"/>
      <c r="AS76" s="80"/>
      <c r="AT76" s="80"/>
      <c r="AU76" s="80"/>
      <c r="AV76" s="80"/>
      <c r="AW76" s="80"/>
      <c r="AX76" s="80"/>
      <c r="AY76" s="80"/>
      <c r="AZ76" s="80"/>
    </row>
    <row r="77" spans="1:52" s="75" customFormat="1" x14ac:dyDescent="0.25">
      <c r="A77" s="110"/>
      <c r="B77" s="111"/>
      <c r="C77" s="112"/>
      <c r="D77" s="111"/>
      <c r="E77" s="555"/>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5"/>
      <c r="AI77" s="116" t="e">
        <f>IF(INDEX(TARIFF_TABLE[#All], MATCH($B77,TARIFF_TABLE[[#All],[Activity]],0),MATCH("ActivityType",TARIFF_TABLE[#Headers]))="Investigation",INDEX(TARIFF_TABLE[#All], MATCH($B77,TARIFF_TABLE[[#All],[Activity]],0),MATCH("Cost",TARIFF_TABLE[#Headers],0)),INDEX(Staff_Costs[#All],MATCH('Per-Participant Activities Arm4'!D77,Staff_Costs[[#All],[Role]],0),MATCH("Per-minute cost",Staff_Costs[#Headers],0))*'Per-Participant Activities Arm4'!C77)</f>
        <v>#N/A</v>
      </c>
      <c r="AJ77" s="117" t="e">
        <f t="shared" si="4"/>
        <v>#N/A</v>
      </c>
      <c r="AK77" s="117" t="e">
        <f t="shared" si="5"/>
        <v>#N/A</v>
      </c>
      <c r="AL77" s="117" t="e">
        <f t="shared" si="6"/>
        <v>#N/A</v>
      </c>
      <c r="AM77" s="117" t="e">
        <f t="shared" si="7"/>
        <v>#N/A</v>
      </c>
      <c r="AN77" s="117" t="e">
        <f t="shared" si="8"/>
        <v>#N/A</v>
      </c>
      <c r="AO77" s="107" t="e">
        <f>INDEX('Tariff (hidden)'!$B$4:$B$133,MATCH(B77,'Tariff (hidden)'!$A$4:$A$133,0))</f>
        <v>#N/A</v>
      </c>
      <c r="AP77" s="80"/>
      <c r="AQ77" s="80"/>
      <c r="AR77" s="80"/>
      <c r="AS77" s="80"/>
      <c r="AT77" s="80"/>
      <c r="AU77" s="80"/>
      <c r="AV77" s="80"/>
      <c r="AW77" s="80"/>
      <c r="AX77" s="80"/>
      <c r="AY77" s="80"/>
      <c r="AZ77" s="80"/>
    </row>
    <row r="78" spans="1:52" s="75" customFormat="1" x14ac:dyDescent="0.25">
      <c r="A78" s="110"/>
      <c r="B78" s="111"/>
      <c r="C78" s="112"/>
      <c r="D78" s="111"/>
      <c r="E78" s="555"/>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5"/>
      <c r="AI78" s="116" t="e">
        <f>IF(INDEX(TARIFF_TABLE[#All], MATCH($B78,TARIFF_TABLE[[#All],[Activity]],0),MATCH("ActivityType",TARIFF_TABLE[#Headers]))="Investigation",INDEX(TARIFF_TABLE[#All], MATCH($B78,TARIFF_TABLE[[#All],[Activity]],0),MATCH("Cost",TARIFF_TABLE[#Headers],0)),INDEX(Staff_Costs[#All],MATCH('Per-Participant Activities Arm4'!D78,Staff_Costs[[#All],[Role]],0),MATCH("Per-minute cost",Staff_Costs[#Headers],0))*'Per-Participant Activities Arm4'!C78)</f>
        <v>#N/A</v>
      </c>
      <c r="AJ78" s="117" t="e">
        <f t="shared" si="4"/>
        <v>#N/A</v>
      </c>
      <c r="AK78" s="117" t="e">
        <f t="shared" si="5"/>
        <v>#N/A</v>
      </c>
      <c r="AL78" s="117" t="e">
        <f t="shared" si="6"/>
        <v>#N/A</v>
      </c>
      <c r="AM78" s="117" t="e">
        <f t="shared" si="7"/>
        <v>#N/A</v>
      </c>
      <c r="AN78" s="117" t="e">
        <f t="shared" si="8"/>
        <v>#N/A</v>
      </c>
      <c r="AO78" s="107" t="e">
        <f>INDEX('Tariff (hidden)'!$B$4:$B$133,MATCH(B78,'Tariff (hidden)'!$A$4:$A$133,0))</f>
        <v>#N/A</v>
      </c>
      <c r="AP78" s="80"/>
      <c r="AQ78" s="80"/>
      <c r="AR78" s="80"/>
      <c r="AS78" s="80"/>
      <c r="AT78" s="80"/>
      <c r="AU78" s="80"/>
      <c r="AV78" s="80"/>
      <c r="AW78" s="80"/>
      <c r="AX78" s="80"/>
      <c r="AY78" s="80"/>
      <c r="AZ78" s="80"/>
    </row>
    <row r="79" spans="1:52" s="75" customFormat="1" x14ac:dyDescent="0.25">
      <c r="A79" s="110"/>
      <c r="B79" s="111"/>
      <c r="C79" s="112"/>
      <c r="D79" s="111"/>
      <c r="E79" s="555"/>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5"/>
      <c r="AI79" s="116" t="e">
        <f>IF(INDEX(TARIFF_TABLE[#All], MATCH($B79,TARIFF_TABLE[[#All],[Activity]],0),MATCH("ActivityType",TARIFF_TABLE[#Headers]))="Investigation",INDEX(TARIFF_TABLE[#All], MATCH($B79,TARIFF_TABLE[[#All],[Activity]],0),MATCH("Cost",TARIFF_TABLE[#Headers],0)),INDEX(Staff_Costs[#All],MATCH('Per-Participant Activities Arm4'!D79,Staff_Costs[[#All],[Role]],0),MATCH("Per-minute cost",Staff_Costs[#Headers],0))*'Per-Participant Activities Arm4'!C79)</f>
        <v>#N/A</v>
      </c>
      <c r="AJ79" s="117" t="e">
        <f t="shared" si="4"/>
        <v>#N/A</v>
      </c>
      <c r="AK79" s="117" t="e">
        <f t="shared" si="5"/>
        <v>#N/A</v>
      </c>
      <c r="AL79" s="117" t="e">
        <f t="shared" si="6"/>
        <v>#N/A</v>
      </c>
      <c r="AM79" s="117" t="e">
        <f t="shared" si="7"/>
        <v>#N/A</v>
      </c>
      <c r="AN79" s="117" t="e">
        <f t="shared" si="8"/>
        <v>#N/A</v>
      </c>
      <c r="AO79" s="107" t="e">
        <f>INDEX('Tariff (hidden)'!$B$4:$B$133,MATCH(B79,'Tariff (hidden)'!$A$4:$A$133,0))</f>
        <v>#N/A</v>
      </c>
      <c r="AP79" s="80"/>
      <c r="AQ79" s="80"/>
      <c r="AR79" s="80"/>
      <c r="AS79" s="80"/>
      <c r="AT79" s="80"/>
      <c r="AU79" s="80"/>
      <c r="AV79" s="80"/>
      <c r="AW79" s="80"/>
      <c r="AX79" s="80"/>
      <c r="AY79" s="80"/>
      <c r="AZ79" s="80"/>
    </row>
    <row r="80" spans="1:52" s="75" customFormat="1" x14ac:dyDescent="0.25">
      <c r="A80" s="110"/>
      <c r="B80" s="111"/>
      <c r="C80" s="112"/>
      <c r="D80" s="111"/>
      <c r="E80" s="555"/>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5"/>
      <c r="AI80" s="116" t="e">
        <f>IF(INDEX(TARIFF_TABLE[#All], MATCH($B80,TARIFF_TABLE[[#All],[Activity]],0),MATCH("ActivityType",TARIFF_TABLE[#Headers]))="Investigation",INDEX(TARIFF_TABLE[#All], MATCH($B80,TARIFF_TABLE[[#All],[Activity]],0),MATCH("Cost",TARIFF_TABLE[#Headers],0)),INDEX(Staff_Costs[#All],MATCH('Per-Participant Activities Arm4'!D80,Staff_Costs[[#All],[Role]],0),MATCH("Per-minute cost",Staff_Costs[#Headers],0))*'Per-Participant Activities Arm4'!C80)</f>
        <v>#N/A</v>
      </c>
      <c r="AJ80" s="117" t="e">
        <f t="shared" si="4"/>
        <v>#N/A</v>
      </c>
      <c r="AK80" s="117" t="e">
        <f t="shared" si="5"/>
        <v>#N/A</v>
      </c>
      <c r="AL80" s="117" t="e">
        <f t="shared" si="6"/>
        <v>#N/A</v>
      </c>
      <c r="AM80" s="117" t="e">
        <f t="shared" si="7"/>
        <v>#N/A</v>
      </c>
      <c r="AN80" s="117" t="e">
        <f t="shared" si="8"/>
        <v>#N/A</v>
      </c>
      <c r="AO80" s="107" t="e">
        <f>INDEX('Tariff (hidden)'!$B$4:$B$133,MATCH(B80,'Tariff (hidden)'!$A$4:$A$133,0))</f>
        <v>#N/A</v>
      </c>
      <c r="AP80" s="80"/>
      <c r="AQ80" s="80"/>
      <c r="AR80" s="80"/>
      <c r="AS80" s="80"/>
      <c r="AT80" s="80"/>
      <c r="AU80" s="80"/>
      <c r="AV80" s="80"/>
      <c r="AW80" s="80"/>
      <c r="AX80" s="80"/>
      <c r="AY80" s="80"/>
      <c r="AZ80" s="80"/>
    </row>
    <row r="81" spans="1:52" s="75" customFormat="1" x14ac:dyDescent="0.25">
      <c r="A81" s="110"/>
      <c r="B81" s="111"/>
      <c r="C81" s="112"/>
      <c r="D81" s="111"/>
      <c r="E81" s="555"/>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5"/>
      <c r="AI81" s="116" t="e">
        <f>IF(INDEX(TARIFF_TABLE[#All], MATCH($B81,TARIFF_TABLE[[#All],[Activity]],0),MATCH("ActivityType",TARIFF_TABLE[#Headers]))="Investigation",INDEX(TARIFF_TABLE[#All], MATCH($B81,TARIFF_TABLE[[#All],[Activity]],0),MATCH("Cost",TARIFF_TABLE[#Headers],0)),INDEX(Staff_Costs[#All],MATCH('Per-Participant Activities Arm4'!D81,Staff_Costs[[#All],[Role]],0),MATCH("Per-minute cost",Staff_Costs[#Headers],0))*'Per-Participant Activities Arm4'!C81)</f>
        <v>#N/A</v>
      </c>
      <c r="AJ81" s="117" t="e">
        <f t="shared" si="4"/>
        <v>#N/A</v>
      </c>
      <c r="AK81" s="117" t="e">
        <f t="shared" si="5"/>
        <v>#N/A</v>
      </c>
      <c r="AL81" s="117" t="e">
        <f t="shared" si="6"/>
        <v>#N/A</v>
      </c>
      <c r="AM81" s="117" t="e">
        <f t="shared" si="7"/>
        <v>#N/A</v>
      </c>
      <c r="AN81" s="117" t="e">
        <f t="shared" si="8"/>
        <v>#N/A</v>
      </c>
      <c r="AO81" s="107" t="e">
        <f>INDEX('Tariff (hidden)'!$B$4:$B$133,MATCH(B81,'Tariff (hidden)'!$A$4:$A$133,0))</f>
        <v>#N/A</v>
      </c>
      <c r="AP81" s="80"/>
      <c r="AQ81" s="80"/>
      <c r="AR81" s="80"/>
      <c r="AS81" s="80"/>
      <c r="AT81" s="80"/>
      <c r="AU81" s="80"/>
      <c r="AV81" s="80"/>
      <c r="AW81" s="80"/>
      <c r="AX81" s="80"/>
      <c r="AY81" s="80"/>
      <c r="AZ81" s="80"/>
    </row>
    <row r="82" spans="1:52" s="75" customFormat="1" x14ac:dyDescent="0.25">
      <c r="A82" s="110"/>
      <c r="B82" s="111"/>
      <c r="C82" s="112"/>
      <c r="D82" s="111"/>
      <c r="E82" s="555"/>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5"/>
      <c r="AI82" s="116" t="e">
        <f>IF(INDEX(TARIFF_TABLE[#All], MATCH($B82,TARIFF_TABLE[[#All],[Activity]],0),MATCH("ActivityType",TARIFF_TABLE[#Headers]))="Investigation",INDEX(TARIFF_TABLE[#All], MATCH($B82,TARIFF_TABLE[[#All],[Activity]],0),MATCH("Cost",TARIFF_TABLE[#Headers],0)),INDEX(Staff_Costs[#All],MATCH('Per-Participant Activities Arm4'!D82,Staff_Costs[[#All],[Role]],0),MATCH("Per-minute cost",Staff_Costs[#Headers],0))*'Per-Participant Activities Arm4'!C82)</f>
        <v>#N/A</v>
      </c>
      <c r="AJ82" s="117" t="e">
        <f t="shared" si="4"/>
        <v>#N/A</v>
      </c>
      <c r="AK82" s="117" t="e">
        <f t="shared" si="5"/>
        <v>#N/A</v>
      </c>
      <c r="AL82" s="117" t="e">
        <f t="shared" si="6"/>
        <v>#N/A</v>
      </c>
      <c r="AM82" s="117" t="e">
        <f t="shared" si="7"/>
        <v>#N/A</v>
      </c>
      <c r="AN82" s="117" t="e">
        <f t="shared" si="8"/>
        <v>#N/A</v>
      </c>
      <c r="AO82" s="107" t="e">
        <f>INDEX('Tariff (hidden)'!$B$4:$B$133,MATCH(B82,'Tariff (hidden)'!$A$4:$A$133,0))</f>
        <v>#N/A</v>
      </c>
      <c r="AP82" s="80"/>
      <c r="AQ82" s="80"/>
      <c r="AR82" s="80"/>
      <c r="AS82" s="80"/>
      <c r="AT82" s="80"/>
      <c r="AU82" s="80"/>
      <c r="AV82" s="80"/>
      <c r="AW82" s="80"/>
      <c r="AX82" s="80"/>
      <c r="AY82" s="80"/>
      <c r="AZ82" s="80"/>
    </row>
    <row r="83" spans="1:52" s="75" customFormat="1" x14ac:dyDescent="0.25">
      <c r="A83" s="110"/>
      <c r="B83" s="111"/>
      <c r="C83" s="112"/>
      <c r="D83" s="111"/>
      <c r="E83" s="555"/>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5"/>
      <c r="AI83" s="116" t="e">
        <f>IF(INDEX(TARIFF_TABLE[#All], MATCH($B83,TARIFF_TABLE[[#All],[Activity]],0),MATCH("ActivityType",TARIFF_TABLE[#Headers]))="Investigation",INDEX(TARIFF_TABLE[#All], MATCH($B83,TARIFF_TABLE[[#All],[Activity]],0),MATCH("Cost",TARIFF_TABLE[#Headers],0)),INDEX(Staff_Costs[#All],MATCH('Per-Participant Activities Arm4'!D83,Staff_Costs[[#All],[Role]],0),MATCH("Per-minute cost",Staff_Costs[#Headers],0))*'Per-Participant Activities Arm4'!C83)</f>
        <v>#N/A</v>
      </c>
      <c r="AJ83" s="117" t="e">
        <f t="shared" si="4"/>
        <v>#N/A</v>
      </c>
      <c r="AK83" s="117" t="e">
        <f t="shared" si="5"/>
        <v>#N/A</v>
      </c>
      <c r="AL83" s="117" t="e">
        <f t="shared" si="6"/>
        <v>#N/A</v>
      </c>
      <c r="AM83" s="117" t="e">
        <f t="shared" si="7"/>
        <v>#N/A</v>
      </c>
      <c r="AN83" s="117" t="e">
        <f t="shared" si="8"/>
        <v>#N/A</v>
      </c>
      <c r="AO83" s="107" t="e">
        <f>INDEX('Tariff (hidden)'!$B$4:$B$133,MATCH(B83,'Tariff (hidden)'!$A$4:$A$133,0))</f>
        <v>#N/A</v>
      </c>
      <c r="AP83" s="80"/>
      <c r="AQ83" s="80"/>
      <c r="AR83" s="80"/>
      <c r="AS83" s="80"/>
      <c r="AT83" s="80"/>
      <c r="AU83" s="80"/>
      <c r="AV83" s="80"/>
      <c r="AW83" s="80"/>
      <c r="AX83" s="80"/>
      <c r="AY83" s="80"/>
      <c r="AZ83" s="80"/>
    </row>
    <row r="84" spans="1:52" s="75" customFormat="1" x14ac:dyDescent="0.25">
      <c r="A84" s="110"/>
      <c r="B84" s="111"/>
      <c r="C84" s="112"/>
      <c r="D84" s="111"/>
      <c r="E84" s="555"/>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5"/>
      <c r="AI84" s="116" t="e">
        <f>IF(INDEX(TARIFF_TABLE[#All], MATCH($B84,TARIFF_TABLE[[#All],[Activity]],0),MATCH("ActivityType",TARIFF_TABLE[#Headers]))="Investigation",INDEX(TARIFF_TABLE[#All], MATCH($B84,TARIFF_TABLE[[#All],[Activity]],0),MATCH("Cost",TARIFF_TABLE[#Headers],0)),INDEX(Staff_Costs[#All],MATCH('Per-Participant Activities Arm4'!D84,Staff_Costs[[#All],[Role]],0),MATCH("Per-minute cost",Staff_Costs[#Headers],0))*'Per-Participant Activities Arm4'!C84)</f>
        <v>#N/A</v>
      </c>
      <c r="AJ84" s="117" t="e">
        <f t="shared" si="4"/>
        <v>#N/A</v>
      </c>
      <c r="AK84" s="117" t="e">
        <f t="shared" si="5"/>
        <v>#N/A</v>
      </c>
      <c r="AL84" s="117" t="e">
        <f t="shared" si="6"/>
        <v>#N/A</v>
      </c>
      <c r="AM84" s="117" t="e">
        <f t="shared" si="7"/>
        <v>#N/A</v>
      </c>
      <c r="AN84" s="117" t="e">
        <f t="shared" si="8"/>
        <v>#N/A</v>
      </c>
      <c r="AO84" s="107" t="e">
        <f>INDEX('Tariff (hidden)'!$B$4:$B$133,MATCH(B84,'Tariff (hidden)'!$A$4:$A$133,0))</f>
        <v>#N/A</v>
      </c>
      <c r="AP84" s="80"/>
      <c r="AQ84" s="80"/>
      <c r="AR84" s="80"/>
      <c r="AS84" s="80"/>
      <c r="AT84" s="80"/>
      <c r="AU84" s="80"/>
      <c r="AV84" s="80"/>
      <c r="AW84" s="80"/>
      <c r="AX84" s="80"/>
      <c r="AY84" s="80"/>
      <c r="AZ84" s="80"/>
    </row>
    <row r="85" spans="1:52" s="75" customFormat="1" x14ac:dyDescent="0.25">
      <c r="A85" s="110"/>
      <c r="B85" s="111"/>
      <c r="C85" s="112"/>
      <c r="D85" s="111"/>
      <c r="E85" s="555"/>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5"/>
      <c r="AI85" s="116" t="e">
        <f>IF(INDEX(TARIFF_TABLE[#All], MATCH($B85,TARIFF_TABLE[[#All],[Activity]],0),MATCH("ActivityType",TARIFF_TABLE[#Headers]))="Investigation",INDEX(TARIFF_TABLE[#All], MATCH($B85,TARIFF_TABLE[[#All],[Activity]],0),MATCH("Cost",TARIFF_TABLE[#Headers],0)),INDEX(Staff_Costs[#All],MATCH('Per-Participant Activities Arm4'!D85,Staff_Costs[[#All],[Role]],0),MATCH("Per-minute cost",Staff_Costs[#Headers],0))*'Per-Participant Activities Arm4'!C85)</f>
        <v>#N/A</v>
      </c>
      <c r="AJ85" s="117" t="e">
        <f t="shared" si="4"/>
        <v>#N/A</v>
      </c>
      <c r="AK85" s="117" t="e">
        <f t="shared" si="5"/>
        <v>#N/A</v>
      </c>
      <c r="AL85" s="117" t="e">
        <f t="shared" si="6"/>
        <v>#N/A</v>
      </c>
      <c r="AM85" s="117" t="e">
        <f t="shared" si="7"/>
        <v>#N/A</v>
      </c>
      <c r="AN85" s="117" t="e">
        <f t="shared" si="8"/>
        <v>#N/A</v>
      </c>
      <c r="AO85" s="107" t="e">
        <f>INDEX('Tariff (hidden)'!$B$4:$B$133,MATCH(B85,'Tariff (hidden)'!$A$4:$A$133,0))</f>
        <v>#N/A</v>
      </c>
      <c r="AP85" s="80"/>
      <c r="AQ85" s="80"/>
      <c r="AR85" s="80"/>
      <c r="AS85" s="80"/>
      <c r="AT85" s="80"/>
      <c r="AU85" s="80"/>
      <c r="AV85" s="80"/>
      <c r="AW85" s="80"/>
      <c r="AX85" s="80"/>
      <c r="AY85" s="80"/>
      <c r="AZ85" s="80"/>
    </row>
    <row r="86" spans="1:52" s="75" customFormat="1" x14ac:dyDescent="0.25">
      <c r="A86" s="110"/>
      <c r="B86" s="111"/>
      <c r="C86" s="112"/>
      <c r="D86" s="111"/>
      <c r="E86" s="555"/>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5"/>
      <c r="AI86" s="116" t="e">
        <f>IF(INDEX(TARIFF_TABLE[#All], MATCH($B86,TARIFF_TABLE[[#All],[Activity]],0),MATCH("ActivityType",TARIFF_TABLE[#Headers]))="Investigation",INDEX(TARIFF_TABLE[#All], MATCH($B86,TARIFF_TABLE[[#All],[Activity]],0),MATCH("Cost",TARIFF_TABLE[#Headers],0)),INDEX(Staff_Costs[#All],MATCH('Per-Participant Activities Arm4'!D86,Staff_Costs[[#All],[Role]],0),MATCH("Per-minute cost",Staff_Costs[#Headers],0))*'Per-Participant Activities Arm4'!C86)</f>
        <v>#N/A</v>
      </c>
      <c r="AJ86" s="117" t="e">
        <f t="shared" si="4"/>
        <v>#N/A</v>
      </c>
      <c r="AK86" s="117" t="e">
        <f t="shared" si="5"/>
        <v>#N/A</v>
      </c>
      <c r="AL86" s="117" t="e">
        <f t="shared" si="6"/>
        <v>#N/A</v>
      </c>
      <c r="AM86" s="117" t="e">
        <f t="shared" si="7"/>
        <v>#N/A</v>
      </c>
      <c r="AN86" s="117" t="e">
        <f t="shared" si="8"/>
        <v>#N/A</v>
      </c>
      <c r="AO86" s="107" t="e">
        <f>INDEX('Tariff (hidden)'!$B$4:$B$133,MATCH(B86,'Tariff (hidden)'!$A$4:$A$133,0))</f>
        <v>#N/A</v>
      </c>
      <c r="AP86" s="80"/>
      <c r="AQ86" s="80"/>
      <c r="AR86" s="80"/>
      <c r="AS86" s="80"/>
      <c r="AT86" s="80"/>
      <c r="AU86" s="80"/>
      <c r="AV86" s="80"/>
      <c r="AW86" s="80"/>
      <c r="AX86" s="80"/>
      <c r="AY86" s="80"/>
      <c r="AZ86" s="80"/>
    </row>
    <row r="87" spans="1:52" s="75" customFormat="1" x14ac:dyDescent="0.25">
      <c r="A87" s="110"/>
      <c r="B87" s="111"/>
      <c r="C87" s="112"/>
      <c r="D87" s="111"/>
      <c r="E87" s="555"/>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5"/>
      <c r="AI87" s="116" t="e">
        <f>IF(INDEX(TARIFF_TABLE[#All], MATCH($B87,TARIFF_TABLE[[#All],[Activity]],0),MATCH("ActivityType",TARIFF_TABLE[#Headers]))="Investigation",INDEX(TARIFF_TABLE[#All], MATCH($B87,TARIFF_TABLE[[#All],[Activity]],0),MATCH("Cost",TARIFF_TABLE[#Headers],0)),INDEX(Staff_Costs[#All],MATCH('Per-Participant Activities Arm4'!D87,Staff_Costs[[#All],[Role]],0),MATCH("Per-minute cost",Staff_Costs[#Headers],0))*'Per-Participant Activities Arm4'!C87)</f>
        <v>#N/A</v>
      </c>
      <c r="AJ87" s="117" t="e">
        <f t="shared" si="4"/>
        <v>#N/A</v>
      </c>
      <c r="AK87" s="117" t="e">
        <f t="shared" si="5"/>
        <v>#N/A</v>
      </c>
      <c r="AL87" s="117" t="e">
        <f t="shared" si="6"/>
        <v>#N/A</v>
      </c>
      <c r="AM87" s="117" t="e">
        <f t="shared" si="7"/>
        <v>#N/A</v>
      </c>
      <c r="AN87" s="117" t="e">
        <f t="shared" si="8"/>
        <v>#N/A</v>
      </c>
      <c r="AO87" s="107" t="e">
        <f>INDEX('Tariff (hidden)'!$B$4:$B$133,MATCH(B87,'Tariff (hidden)'!$A$4:$A$133,0))</f>
        <v>#N/A</v>
      </c>
      <c r="AP87" s="80"/>
      <c r="AQ87" s="80"/>
      <c r="AR87" s="80"/>
      <c r="AS87" s="80"/>
      <c r="AT87" s="80"/>
      <c r="AU87" s="80"/>
      <c r="AV87" s="80"/>
      <c r="AW87" s="80"/>
      <c r="AX87" s="80"/>
      <c r="AY87" s="80"/>
      <c r="AZ87" s="80"/>
    </row>
    <row r="88" spans="1:52" s="75" customFormat="1" x14ac:dyDescent="0.25">
      <c r="A88" s="110"/>
      <c r="B88" s="111"/>
      <c r="C88" s="112"/>
      <c r="D88" s="111"/>
      <c r="E88" s="555"/>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5"/>
      <c r="AI88" s="116" t="e">
        <f>IF(INDEX(TARIFF_TABLE[#All], MATCH($B88,TARIFF_TABLE[[#All],[Activity]],0),MATCH("ActivityType",TARIFF_TABLE[#Headers]))="Investigation",INDEX(TARIFF_TABLE[#All], MATCH($B88,TARIFF_TABLE[[#All],[Activity]],0),MATCH("Cost",TARIFF_TABLE[#Headers],0)),INDEX(Staff_Costs[#All],MATCH('Per-Participant Activities Arm4'!D88,Staff_Costs[[#All],[Role]],0),MATCH("Per-minute cost",Staff_Costs[#Headers],0))*'Per-Participant Activities Arm4'!C88)</f>
        <v>#N/A</v>
      </c>
      <c r="AJ88" s="117" t="e">
        <f t="shared" si="4"/>
        <v>#N/A</v>
      </c>
      <c r="AK88" s="117" t="e">
        <f t="shared" si="5"/>
        <v>#N/A</v>
      </c>
      <c r="AL88" s="117" t="e">
        <f t="shared" si="6"/>
        <v>#N/A</v>
      </c>
      <c r="AM88" s="117" t="e">
        <f t="shared" si="7"/>
        <v>#N/A</v>
      </c>
      <c r="AN88" s="117" t="e">
        <f t="shared" si="8"/>
        <v>#N/A</v>
      </c>
      <c r="AO88" s="107" t="e">
        <f>INDEX('Tariff (hidden)'!$B$4:$B$133,MATCH(B88,'Tariff (hidden)'!$A$4:$A$133,0))</f>
        <v>#N/A</v>
      </c>
      <c r="AP88" s="80"/>
      <c r="AQ88" s="80"/>
      <c r="AR88" s="80"/>
      <c r="AS88" s="80"/>
      <c r="AT88" s="80"/>
      <c r="AU88" s="80"/>
      <c r="AV88" s="80"/>
      <c r="AW88" s="80"/>
      <c r="AX88" s="80"/>
      <c r="AY88" s="80"/>
      <c r="AZ88" s="80"/>
    </row>
    <row r="89" spans="1:52" s="75" customFormat="1" x14ac:dyDescent="0.25">
      <c r="A89" s="110"/>
      <c r="B89" s="111"/>
      <c r="C89" s="112"/>
      <c r="D89" s="111"/>
      <c r="E89" s="555"/>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5"/>
      <c r="AI89" s="116" t="e">
        <f>IF(INDEX(TARIFF_TABLE[#All], MATCH($B89,TARIFF_TABLE[[#All],[Activity]],0),MATCH("ActivityType",TARIFF_TABLE[#Headers]))="Investigation",INDEX(TARIFF_TABLE[#All], MATCH($B89,TARIFF_TABLE[[#All],[Activity]],0),MATCH("Cost",TARIFF_TABLE[#Headers],0)),INDEX(Staff_Costs[#All],MATCH('Per-Participant Activities Arm4'!D89,Staff_Costs[[#All],[Role]],0),MATCH("Per-minute cost",Staff_Costs[#Headers],0))*'Per-Participant Activities Arm4'!C89)</f>
        <v>#N/A</v>
      </c>
      <c r="AJ89" s="117" t="e">
        <f t="shared" si="4"/>
        <v>#N/A</v>
      </c>
      <c r="AK89" s="117" t="e">
        <f t="shared" si="5"/>
        <v>#N/A</v>
      </c>
      <c r="AL89" s="117" t="e">
        <f t="shared" si="6"/>
        <v>#N/A</v>
      </c>
      <c r="AM89" s="117" t="e">
        <f t="shared" si="7"/>
        <v>#N/A</v>
      </c>
      <c r="AN89" s="117" t="e">
        <f t="shared" si="8"/>
        <v>#N/A</v>
      </c>
      <c r="AO89" s="107" t="e">
        <f>INDEX('Tariff (hidden)'!$B$4:$B$133,MATCH(B89,'Tariff (hidden)'!$A$4:$A$133,0))</f>
        <v>#N/A</v>
      </c>
      <c r="AP89" s="80"/>
      <c r="AQ89" s="80"/>
      <c r="AR89" s="80"/>
      <c r="AS89" s="80"/>
      <c r="AT89" s="80"/>
      <c r="AU89" s="80"/>
      <c r="AV89" s="80"/>
      <c r="AW89" s="80"/>
      <c r="AX89" s="80"/>
      <c r="AY89" s="80"/>
      <c r="AZ89" s="80"/>
    </row>
    <row r="90" spans="1:52" s="75" customFormat="1" x14ac:dyDescent="0.25">
      <c r="A90" s="110"/>
      <c r="B90" s="111"/>
      <c r="C90" s="112"/>
      <c r="D90" s="111"/>
      <c r="E90" s="555"/>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5"/>
      <c r="AI90" s="116" t="e">
        <f>IF(INDEX(TARIFF_TABLE[#All], MATCH($B90,TARIFF_TABLE[[#All],[Activity]],0),MATCH("ActivityType",TARIFF_TABLE[#Headers]))="Investigation",INDEX(TARIFF_TABLE[#All], MATCH($B90,TARIFF_TABLE[[#All],[Activity]],0),MATCH("Cost",TARIFF_TABLE[#Headers],0)),INDEX(Staff_Costs[#All],MATCH('Per-Participant Activities Arm4'!D90,Staff_Costs[[#All],[Role]],0),MATCH("Per-minute cost",Staff_Costs[#Headers],0))*'Per-Participant Activities Arm4'!C90)</f>
        <v>#N/A</v>
      </c>
      <c r="AJ90" s="117" t="e">
        <f t="shared" si="4"/>
        <v>#N/A</v>
      </c>
      <c r="AK90" s="117" t="e">
        <f t="shared" si="5"/>
        <v>#N/A</v>
      </c>
      <c r="AL90" s="117" t="e">
        <f t="shared" si="6"/>
        <v>#N/A</v>
      </c>
      <c r="AM90" s="117" t="e">
        <f t="shared" si="7"/>
        <v>#N/A</v>
      </c>
      <c r="AN90" s="117" t="e">
        <f t="shared" si="8"/>
        <v>#N/A</v>
      </c>
      <c r="AO90" s="107" t="e">
        <f>INDEX('Tariff (hidden)'!$B$4:$B$133,MATCH(B90,'Tariff (hidden)'!$A$4:$A$133,0))</f>
        <v>#N/A</v>
      </c>
      <c r="AP90" s="80"/>
      <c r="AQ90" s="80"/>
      <c r="AR90" s="80"/>
      <c r="AS90" s="80"/>
      <c r="AT90" s="80"/>
      <c r="AU90" s="80"/>
      <c r="AV90" s="80"/>
      <c r="AW90" s="80"/>
      <c r="AX90" s="80"/>
      <c r="AY90" s="80"/>
      <c r="AZ90" s="80"/>
    </row>
    <row r="91" spans="1:52" s="75" customFormat="1" x14ac:dyDescent="0.25">
      <c r="A91" s="110"/>
      <c r="B91" s="111"/>
      <c r="C91" s="112"/>
      <c r="D91" s="111"/>
      <c r="E91" s="555"/>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5"/>
      <c r="AI91" s="116" t="e">
        <f>IF(INDEX(TARIFF_TABLE[#All], MATCH($B91,TARIFF_TABLE[[#All],[Activity]],0),MATCH("ActivityType",TARIFF_TABLE[#Headers]))="Investigation",INDEX(TARIFF_TABLE[#All], MATCH($B91,TARIFF_TABLE[[#All],[Activity]],0),MATCH("Cost",TARIFF_TABLE[#Headers],0)),INDEX(Staff_Costs[#All],MATCH('Per-Participant Activities Arm4'!D91,Staff_Costs[[#All],[Role]],0),MATCH("Per-minute cost",Staff_Costs[#Headers],0))*'Per-Participant Activities Arm4'!C91)</f>
        <v>#N/A</v>
      </c>
      <c r="AJ91" s="117" t="e">
        <f t="shared" si="4"/>
        <v>#N/A</v>
      </c>
      <c r="AK91" s="117" t="e">
        <f t="shared" si="5"/>
        <v>#N/A</v>
      </c>
      <c r="AL91" s="117" t="e">
        <f t="shared" si="6"/>
        <v>#N/A</v>
      </c>
      <c r="AM91" s="117" t="e">
        <f t="shared" si="7"/>
        <v>#N/A</v>
      </c>
      <c r="AN91" s="117" t="e">
        <f t="shared" si="8"/>
        <v>#N/A</v>
      </c>
      <c r="AO91" s="107" t="e">
        <f>INDEX('Tariff (hidden)'!$B$4:$B$133,MATCH(B91,'Tariff (hidden)'!$A$4:$A$133,0))</f>
        <v>#N/A</v>
      </c>
      <c r="AP91" s="80"/>
      <c r="AQ91" s="80"/>
      <c r="AR91" s="80"/>
      <c r="AS91" s="80"/>
      <c r="AT91" s="80"/>
      <c r="AU91" s="80"/>
      <c r="AV91" s="80"/>
      <c r="AW91" s="80"/>
      <c r="AX91" s="80"/>
      <c r="AY91" s="80"/>
      <c r="AZ91" s="80"/>
    </row>
    <row r="92" spans="1:52" s="75" customFormat="1" x14ac:dyDescent="0.25">
      <c r="A92" s="110"/>
      <c r="B92" s="111"/>
      <c r="C92" s="112"/>
      <c r="D92" s="111"/>
      <c r="E92" s="555"/>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5"/>
      <c r="AI92" s="116" t="e">
        <f>IF(INDEX(TARIFF_TABLE[#All], MATCH($B92,TARIFF_TABLE[[#All],[Activity]],0),MATCH("ActivityType",TARIFF_TABLE[#Headers]))="Investigation",INDEX(TARIFF_TABLE[#All], MATCH($B92,TARIFF_TABLE[[#All],[Activity]],0),MATCH("Cost",TARIFF_TABLE[#Headers],0)),INDEX(Staff_Costs[#All],MATCH('Per-Participant Activities Arm4'!D92,Staff_Costs[[#All],[Role]],0),MATCH("Per-minute cost",Staff_Costs[#Headers],0))*'Per-Participant Activities Arm4'!C92)</f>
        <v>#N/A</v>
      </c>
      <c r="AJ92" s="117" t="e">
        <f t="shared" si="4"/>
        <v>#N/A</v>
      </c>
      <c r="AK92" s="117" t="e">
        <f t="shared" si="5"/>
        <v>#N/A</v>
      </c>
      <c r="AL92" s="117" t="e">
        <f t="shared" si="6"/>
        <v>#N/A</v>
      </c>
      <c r="AM92" s="117" t="e">
        <f t="shared" si="7"/>
        <v>#N/A</v>
      </c>
      <c r="AN92" s="117" t="e">
        <f t="shared" si="8"/>
        <v>#N/A</v>
      </c>
      <c r="AO92" s="107" t="e">
        <f>INDEX('Tariff (hidden)'!$B$4:$B$133,MATCH(B92,'Tariff (hidden)'!$A$4:$A$133,0))</f>
        <v>#N/A</v>
      </c>
      <c r="AP92" s="80"/>
      <c r="AQ92" s="80"/>
      <c r="AR92" s="80"/>
      <c r="AS92" s="80"/>
      <c r="AT92" s="80"/>
      <c r="AU92" s="80"/>
      <c r="AV92" s="80"/>
      <c r="AW92" s="80"/>
      <c r="AX92" s="80"/>
      <c r="AY92" s="80"/>
      <c r="AZ92" s="80"/>
    </row>
    <row r="93" spans="1:52" s="75" customFormat="1" x14ac:dyDescent="0.25">
      <c r="A93" s="110"/>
      <c r="B93" s="111"/>
      <c r="C93" s="112"/>
      <c r="D93" s="111"/>
      <c r="E93" s="555"/>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5"/>
      <c r="AI93" s="116" t="e">
        <f>IF(INDEX(TARIFF_TABLE[#All], MATCH($B93,TARIFF_TABLE[[#All],[Activity]],0),MATCH("ActivityType",TARIFF_TABLE[#Headers]))="Investigation",INDEX(TARIFF_TABLE[#All], MATCH($B93,TARIFF_TABLE[[#All],[Activity]],0),MATCH("Cost",TARIFF_TABLE[#Headers],0)),INDEX(Staff_Costs[#All],MATCH('Per-Participant Activities Arm4'!D93,Staff_Costs[[#All],[Role]],0),MATCH("Per-minute cost",Staff_Costs[#Headers],0))*'Per-Participant Activities Arm4'!C93)</f>
        <v>#N/A</v>
      </c>
      <c r="AJ93" s="117" t="e">
        <f t="shared" si="4"/>
        <v>#N/A</v>
      </c>
      <c r="AK93" s="117" t="e">
        <f t="shared" si="5"/>
        <v>#N/A</v>
      </c>
      <c r="AL93" s="117" t="e">
        <f t="shared" si="6"/>
        <v>#N/A</v>
      </c>
      <c r="AM93" s="117" t="e">
        <f t="shared" si="7"/>
        <v>#N/A</v>
      </c>
      <c r="AN93" s="117" t="e">
        <f t="shared" si="8"/>
        <v>#N/A</v>
      </c>
      <c r="AO93" s="107" t="e">
        <f>INDEX('Tariff (hidden)'!$B$4:$B$133,MATCH(B93,'Tariff (hidden)'!$A$4:$A$133,0))</f>
        <v>#N/A</v>
      </c>
      <c r="AP93" s="80"/>
      <c r="AQ93" s="80"/>
      <c r="AR93" s="80"/>
      <c r="AS93" s="80"/>
      <c r="AT93" s="80"/>
      <c r="AU93" s="80"/>
      <c r="AV93" s="80"/>
      <c r="AW93" s="80"/>
      <c r="AX93" s="80"/>
      <c r="AY93" s="80"/>
      <c r="AZ93" s="80"/>
    </row>
    <row r="94" spans="1:52" s="75" customFormat="1" x14ac:dyDescent="0.25">
      <c r="A94" s="110"/>
      <c r="B94" s="111"/>
      <c r="C94" s="112"/>
      <c r="D94" s="111"/>
      <c r="E94" s="555"/>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5"/>
      <c r="AI94" s="116" t="e">
        <f>IF(INDEX(TARIFF_TABLE[#All], MATCH($B94,TARIFF_TABLE[[#All],[Activity]],0),MATCH("ActivityType",TARIFF_TABLE[#Headers]))="Investigation",INDEX(TARIFF_TABLE[#All], MATCH($B94,TARIFF_TABLE[[#All],[Activity]],0),MATCH("Cost",TARIFF_TABLE[#Headers],0)),INDEX(Staff_Costs[#All],MATCH('Per-Participant Activities Arm4'!D94,Staff_Costs[[#All],[Role]],0),MATCH("Per-minute cost",Staff_Costs[#Headers],0))*'Per-Participant Activities Arm4'!C94)</f>
        <v>#N/A</v>
      </c>
      <c r="AJ94" s="117" t="e">
        <f t="shared" si="4"/>
        <v>#N/A</v>
      </c>
      <c r="AK94" s="117" t="e">
        <f t="shared" si="5"/>
        <v>#N/A</v>
      </c>
      <c r="AL94" s="117" t="e">
        <f t="shared" si="6"/>
        <v>#N/A</v>
      </c>
      <c r="AM94" s="117" t="e">
        <f t="shared" si="7"/>
        <v>#N/A</v>
      </c>
      <c r="AN94" s="117" t="e">
        <f t="shared" si="8"/>
        <v>#N/A</v>
      </c>
      <c r="AO94" s="107" t="e">
        <f>INDEX('Tariff (hidden)'!$B$4:$B$133,MATCH(B94,'Tariff (hidden)'!$A$4:$A$133,0))</f>
        <v>#N/A</v>
      </c>
      <c r="AP94" s="80"/>
      <c r="AQ94" s="80"/>
      <c r="AR94" s="80"/>
      <c r="AS94" s="80"/>
      <c r="AT94" s="80"/>
      <c r="AU94" s="80"/>
      <c r="AV94" s="80"/>
      <c r="AW94" s="80"/>
      <c r="AX94" s="80"/>
      <c r="AY94" s="80"/>
      <c r="AZ94" s="80"/>
    </row>
    <row r="95" spans="1:52" s="75" customFormat="1" x14ac:dyDescent="0.25">
      <c r="A95" s="110"/>
      <c r="B95" s="111"/>
      <c r="C95" s="112"/>
      <c r="D95" s="111"/>
      <c r="E95" s="555"/>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5"/>
      <c r="AI95" s="116" t="e">
        <f>IF(INDEX(TARIFF_TABLE[#All], MATCH($B95,TARIFF_TABLE[[#All],[Activity]],0),MATCH("ActivityType",TARIFF_TABLE[#Headers]))="Investigation",INDEX(TARIFF_TABLE[#All], MATCH($B95,TARIFF_TABLE[[#All],[Activity]],0),MATCH("Cost",TARIFF_TABLE[#Headers],0)),INDEX(Staff_Costs[#All],MATCH('Per-Participant Activities Arm4'!D95,Staff_Costs[[#All],[Role]],0),MATCH("Per-minute cost",Staff_Costs[#Headers],0))*'Per-Participant Activities Arm4'!C95)</f>
        <v>#N/A</v>
      </c>
      <c r="AJ95" s="117" t="e">
        <f t="shared" si="4"/>
        <v>#N/A</v>
      </c>
      <c r="AK95" s="117" t="e">
        <f t="shared" si="5"/>
        <v>#N/A</v>
      </c>
      <c r="AL95" s="117" t="e">
        <f t="shared" si="6"/>
        <v>#N/A</v>
      </c>
      <c r="AM95" s="117" t="e">
        <f t="shared" si="7"/>
        <v>#N/A</v>
      </c>
      <c r="AN95" s="117" t="e">
        <f t="shared" si="8"/>
        <v>#N/A</v>
      </c>
      <c r="AO95" s="107" t="e">
        <f>INDEX('Tariff (hidden)'!$B$4:$B$133,MATCH(B95,'Tariff (hidden)'!$A$4:$A$133,0))</f>
        <v>#N/A</v>
      </c>
      <c r="AP95" s="80"/>
      <c r="AQ95" s="80"/>
      <c r="AR95" s="80"/>
      <c r="AS95" s="80"/>
      <c r="AT95" s="80"/>
      <c r="AU95" s="80"/>
      <c r="AV95" s="80"/>
      <c r="AW95" s="80"/>
      <c r="AX95" s="80"/>
      <c r="AY95" s="80"/>
      <c r="AZ95" s="80"/>
    </row>
    <row r="96" spans="1:52" s="75" customFormat="1" x14ac:dyDescent="0.25">
      <c r="A96" s="110"/>
      <c r="B96" s="111"/>
      <c r="C96" s="112"/>
      <c r="D96" s="111"/>
      <c r="E96" s="555"/>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5"/>
      <c r="AI96" s="116" t="e">
        <f>IF(INDEX(TARIFF_TABLE[#All], MATCH($B96,TARIFF_TABLE[[#All],[Activity]],0),MATCH("ActivityType",TARIFF_TABLE[#Headers]))="Investigation",INDEX(TARIFF_TABLE[#All], MATCH($B96,TARIFF_TABLE[[#All],[Activity]],0),MATCH("Cost",TARIFF_TABLE[#Headers],0)),INDEX(Staff_Costs[#All],MATCH('Per-Participant Activities Arm4'!D96,Staff_Costs[[#All],[Role]],0),MATCH("Per-minute cost",Staff_Costs[#Headers],0))*'Per-Participant Activities Arm4'!C96)</f>
        <v>#N/A</v>
      </c>
      <c r="AJ96" s="117" t="e">
        <f t="shared" si="4"/>
        <v>#N/A</v>
      </c>
      <c r="AK96" s="117" t="e">
        <f t="shared" si="5"/>
        <v>#N/A</v>
      </c>
      <c r="AL96" s="117" t="e">
        <f t="shared" si="6"/>
        <v>#N/A</v>
      </c>
      <c r="AM96" s="117" t="e">
        <f t="shared" si="7"/>
        <v>#N/A</v>
      </c>
      <c r="AN96" s="117" t="e">
        <f t="shared" si="8"/>
        <v>#N/A</v>
      </c>
      <c r="AO96" s="107" t="e">
        <f>INDEX('Tariff (hidden)'!$B$4:$B$133,MATCH(B96,'Tariff (hidden)'!$A$4:$A$133,0))</f>
        <v>#N/A</v>
      </c>
      <c r="AP96" s="80"/>
      <c r="AQ96" s="80"/>
      <c r="AR96" s="80"/>
      <c r="AS96" s="80"/>
      <c r="AT96" s="80"/>
      <c r="AU96" s="80"/>
      <c r="AV96" s="80"/>
      <c r="AW96" s="80"/>
      <c r="AX96" s="80"/>
      <c r="AY96" s="80"/>
      <c r="AZ96" s="80"/>
    </row>
    <row r="97" spans="1:52" s="75" customFormat="1" x14ac:dyDescent="0.25">
      <c r="A97" s="110"/>
      <c r="B97" s="111"/>
      <c r="C97" s="112"/>
      <c r="D97" s="111"/>
      <c r="E97" s="555"/>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5"/>
      <c r="AI97" s="116" t="e">
        <f>IF(INDEX(TARIFF_TABLE[#All], MATCH($B97,TARIFF_TABLE[[#All],[Activity]],0),MATCH("ActivityType",TARIFF_TABLE[#Headers]))="Investigation",INDEX(TARIFF_TABLE[#All], MATCH($B97,TARIFF_TABLE[[#All],[Activity]],0),MATCH("Cost",TARIFF_TABLE[#Headers],0)),INDEX(Staff_Costs[#All],MATCH('Per-Participant Activities Arm4'!D97,Staff_Costs[[#All],[Role]],0),MATCH("Per-minute cost",Staff_Costs[#Headers],0))*'Per-Participant Activities Arm4'!C97)</f>
        <v>#N/A</v>
      </c>
      <c r="AJ97" s="117" t="e">
        <f t="shared" si="4"/>
        <v>#N/A</v>
      </c>
      <c r="AK97" s="117" t="e">
        <f t="shared" si="5"/>
        <v>#N/A</v>
      </c>
      <c r="AL97" s="117" t="e">
        <f t="shared" si="6"/>
        <v>#N/A</v>
      </c>
      <c r="AM97" s="117" t="e">
        <f t="shared" si="7"/>
        <v>#N/A</v>
      </c>
      <c r="AN97" s="117" t="e">
        <f t="shared" si="8"/>
        <v>#N/A</v>
      </c>
      <c r="AO97" s="107" t="e">
        <f>INDEX('Tariff (hidden)'!$B$4:$B$133,MATCH(B97,'Tariff (hidden)'!$A$4:$A$133,0))</f>
        <v>#N/A</v>
      </c>
      <c r="AP97" s="80"/>
      <c r="AQ97" s="80"/>
      <c r="AR97" s="80"/>
      <c r="AS97" s="80"/>
      <c r="AT97" s="80"/>
      <c r="AU97" s="80"/>
      <c r="AV97" s="80"/>
      <c r="AW97" s="80"/>
      <c r="AX97" s="80"/>
      <c r="AY97" s="80"/>
      <c r="AZ97" s="80"/>
    </row>
    <row r="98" spans="1:52" s="75" customFormat="1" x14ac:dyDescent="0.25">
      <c r="A98" s="110"/>
      <c r="B98" s="111"/>
      <c r="C98" s="112"/>
      <c r="D98" s="111"/>
      <c r="E98" s="555"/>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5"/>
      <c r="AI98" s="116" t="e">
        <f>IF(INDEX(TARIFF_TABLE[#All], MATCH($B98,TARIFF_TABLE[[#All],[Activity]],0),MATCH("ActivityType",TARIFF_TABLE[#Headers]))="Investigation",INDEX(TARIFF_TABLE[#All], MATCH($B98,TARIFF_TABLE[[#All],[Activity]],0),MATCH("Cost",TARIFF_TABLE[#Headers],0)),INDEX(Staff_Costs[#All],MATCH('Per-Participant Activities Arm4'!D98,Staff_Costs[[#All],[Role]],0),MATCH("Per-minute cost",Staff_Costs[#Headers],0))*'Per-Participant Activities Arm4'!C98)</f>
        <v>#N/A</v>
      </c>
      <c r="AJ98" s="117" t="e">
        <f t="shared" si="4"/>
        <v>#N/A</v>
      </c>
      <c r="AK98" s="117" t="e">
        <f t="shared" si="5"/>
        <v>#N/A</v>
      </c>
      <c r="AL98" s="117" t="e">
        <f t="shared" si="6"/>
        <v>#N/A</v>
      </c>
      <c r="AM98" s="117" t="e">
        <f t="shared" si="7"/>
        <v>#N/A</v>
      </c>
      <c r="AN98" s="117" t="e">
        <f t="shared" si="8"/>
        <v>#N/A</v>
      </c>
      <c r="AO98" s="107" t="e">
        <f>INDEX('Tariff (hidden)'!$B$4:$B$133,MATCH(B98,'Tariff (hidden)'!$A$4:$A$133,0))</f>
        <v>#N/A</v>
      </c>
      <c r="AP98" s="80"/>
      <c r="AQ98" s="80"/>
      <c r="AR98" s="80"/>
      <c r="AS98" s="80"/>
      <c r="AT98" s="80"/>
      <c r="AU98" s="80"/>
      <c r="AV98" s="80"/>
      <c r="AW98" s="80"/>
      <c r="AX98" s="80"/>
      <c r="AY98" s="80"/>
      <c r="AZ98" s="80"/>
    </row>
    <row r="99" spans="1:52" s="75" customFormat="1" x14ac:dyDescent="0.25">
      <c r="A99" s="110"/>
      <c r="B99" s="111"/>
      <c r="C99" s="112"/>
      <c r="D99" s="111"/>
      <c r="E99" s="555"/>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5"/>
      <c r="AI99" s="116" t="e">
        <f>IF(INDEX(TARIFF_TABLE[#All], MATCH($B99,TARIFF_TABLE[[#All],[Activity]],0),MATCH("ActivityType",TARIFF_TABLE[#Headers]))="Investigation",INDEX(TARIFF_TABLE[#All], MATCH($B99,TARIFF_TABLE[[#All],[Activity]],0),MATCH("Cost",TARIFF_TABLE[#Headers],0)),INDEX(Staff_Costs[#All],MATCH('Per-Participant Activities Arm4'!D99,Staff_Costs[[#All],[Role]],0),MATCH("Per-minute cost",Staff_Costs[#Headers],0))*'Per-Participant Activities Arm4'!C99)</f>
        <v>#N/A</v>
      </c>
      <c r="AJ99" s="117" t="e">
        <f t="shared" si="4"/>
        <v>#N/A</v>
      </c>
      <c r="AK99" s="117" t="e">
        <f t="shared" si="5"/>
        <v>#N/A</v>
      </c>
      <c r="AL99" s="117" t="e">
        <f t="shared" si="6"/>
        <v>#N/A</v>
      </c>
      <c r="AM99" s="117" t="e">
        <f t="shared" si="7"/>
        <v>#N/A</v>
      </c>
      <c r="AN99" s="117" t="e">
        <f t="shared" si="8"/>
        <v>#N/A</v>
      </c>
      <c r="AO99" s="107" t="e">
        <f>INDEX('Tariff (hidden)'!$B$4:$B$133,MATCH(B99,'Tariff (hidden)'!$A$4:$A$133,0))</f>
        <v>#N/A</v>
      </c>
      <c r="AP99" s="80"/>
      <c r="AQ99" s="80"/>
      <c r="AR99" s="80"/>
      <c r="AS99" s="80"/>
      <c r="AT99" s="80"/>
      <c r="AU99" s="80"/>
      <c r="AV99" s="80"/>
      <c r="AW99" s="80"/>
      <c r="AX99" s="80"/>
      <c r="AY99" s="80"/>
      <c r="AZ99" s="80"/>
    </row>
    <row r="100" spans="1:52" s="75" customFormat="1" x14ac:dyDescent="0.25">
      <c r="A100" s="110"/>
      <c r="B100" s="111"/>
      <c r="C100" s="112"/>
      <c r="D100" s="111"/>
      <c r="E100" s="555"/>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5"/>
      <c r="AI100" s="116" t="e">
        <f>IF(INDEX(TARIFF_TABLE[#All], MATCH($B100,TARIFF_TABLE[[#All],[Activity]],0),MATCH("ActivityType",TARIFF_TABLE[#Headers]))="Investigation",INDEX(TARIFF_TABLE[#All], MATCH($B100,TARIFF_TABLE[[#All],[Activity]],0),MATCH("Cost",TARIFF_TABLE[#Headers],0)),INDEX(Staff_Costs[#All],MATCH('Per-Participant Activities Arm4'!D100,Staff_Costs[[#All],[Role]],0),MATCH("Per-minute cost",Staff_Costs[#Headers],0))*'Per-Participant Activities Arm4'!C100)</f>
        <v>#N/A</v>
      </c>
      <c r="AJ100" s="117" t="e">
        <f t="shared" si="4"/>
        <v>#N/A</v>
      </c>
      <c r="AK100" s="117" t="e">
        <f t="shared" si="5"/>
        <v>#N/A</v>
      </c>
      <c r="AL100" s="117" t="e">
        <f t="shared" si="6"/>
        <v>#N/A</v>
      </c>
      <c r="AM100" s="117" t="e">
        <f t="shared" si="7"/>
        <v>#N/A</v>
      </c>
      <c r="AN100" s="117" t="e">
        <f t="shared" si="8"/>
        <v>#N/A</v>
      </c>
      <c r="AO100" s="107" t="e">
        <f>INDEX('Tariff (hidden)'!$B$4:$B$133,MATCH(B100,'Tariff (hidden)'!$A$4:$A$133,0))</f>
        <v>#N/A</v>
      </c>
      <c r="AP100" s="80"/>
      <c r="AQ100" s="80"/>
      <c r="AR100" s="80"/>
      <c r="AS100" s="80"/>
      <c r="AT100" s="80"/>
      <c r="AU100" s="80"/>
      <c r="AV100" s="80"/>
      <c r="AW100" s="80"/>
      <c r="AX100" s="80"/>
      <c r="AY100" s="80"/>
      <c r="AZ100" s="80"/>
    </row>
    <row r="101" spans="1:52" s="75" customFormat="1" x14ac:dyDescent="0.25">
      <c r="A101" s="110"/>
      <c r="B101" s="111"/>
      <c r="C101" s="112"/>
      <c r="D101" s="111"/>
      <c r="E101" s="555"/>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5"/>
      <c r="AI101" s="116" t="e">
        <f>IF(INDEX(TARIFF_TABLE[#All], MATCH($B101,TARIFF_TABLE[[#All],[Activity]],0),MATCH("ActivityType",TARIFF_TABLE[#Headers]))="Investigation",INDEX(TARIFF_TABLE[#All], MATCH($B101,TARIFF_TABLE[[#All],[Activity]],0),MATCH("Cost",TARIFF_TABLE[#Headers],0)),INDEX(Staff_Costs[#All],MATCH('Per-Participant Activities Arm4'!D101,Staff_Costs[[#All],[Role]],0),MATCH("Per-minute cost",Staff_Costs[#Headers],0))*'Per-Participant Activities Arm4'!C101)</f>
        <v>#N/A</v>
      </c>
      <c r="AJ101" s="117" t="e">
        <f t="shared" si="4"/>
        <v>#N/A</v>
      </c>
      <c r="AK101" s="117" t="e">
        <f t="shared" si="5"/>
        <v>#N/A</v>
      </c>
      <c r="AL101" s="117" t="e">
        <f t="shared" si="6"/>
        <v>#N/A</v>
      </c>
      <c r="AM101" s="117" t="e">
        <f t="shared" si="7"/>
        <v>#N/A</v>
      </c>
      <c r="AN101" s="117" t="e">
        <f t="shared" si="8"/>
        <v>#N/A</v>
      </c>
      <c r="AO101" s="107" t="e">
        <f>INDEX('Tariff (hidden)'!$B$4:$B$133,MATCH(B101,'Tariff (hidden)'!$A$4:$A$133,0))</f>
        <v>#N/A</v>
      </c>
      <c r="AP101" s="80"/>
      <c r="AQ101" s="80"/>
      <c r="AR101" s="80"/>
      <c r="AS101" s="80"/>
      <c r="AT101" s="80"/>
      <c r="AU101" s="80"/>
      <c r="AV101" s="80"/>
      <c r="AW101" s="80"/>
      <c r="AX101" s="80"/>
      <c r="AY101" s="80"/>
      <c r="AZ101" s="80"/>
    </row>
    <row r="102" spans="1:52" s="75" customFormat="1" x14ac:dyDescent="0.25">
      <c r="A102" s="110"/>
      <c r="B102" s="111"/>
      <c r="C102" s="112"/>
      <c r="D102" s="111"/>
      <c r="E102" s="555"/>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5"/>
      <c r="AI102" s="116" t="e">
        <f>IF(INDEX(TARIFF_TABLE[#All], MATCH($B102,TARIFF_TABLE[[#All],[Activity]],0),MATCH("ActivityType",TARIFF_TABLE[#Headers]))="Investigation",INDEX(TARIFF_TABLE[#All], MATCH($B102,TARIFF_TABLE[[#All],[Activity]],0),MATCH("Cost",TARIFF_TABLE[#Headers],0)),INDEX(Staff_Costs[#All],MATCH('Per-Participant Activities Arm4'!D102,Staff_Costs[[#All],[Role]],0),MATCH("Per-minute cost",Staff_Costs[#Headers],0))*'Per-Participant Activities Arm4'!C102)</f>
        <v>#N/A</v>
      </c>
      <c r="AJ102" s="117" t="e">
        <f t="shared" si="4"/>
        <v>#N/A</v>
      </c>
      <c r="AK102" s="117" t="e">
        <f t="shared" si="5"/>
        <v>#N/A</v>
      </c>
      <c r="AL102" s="117" t="e">
        <f t="shared" si="6"/>
        <v>#N/A</v>
      </c>
      <c r="AM102" s="117" t="e">
        <f t="shared" si="7"/>
        <v>#N/A</v>
      </c>
      <c r="AN102" s="117" t="e">
        <f t="shared" si="8"/>
        <v>#N/A</v>
      </c>
      <c r="AO102" s="107" t="e">
        <f>INDEX('Tariff (hidden)'!$B$4:$B$133,MATCH(B102,'Tariff (hidden)'!$A$4:$A$133,0))</f>
        <v>#N/A</v>
      </c>
      <c r="AP102" s="80"/>
      <c r="AQ102" s="80"/>
      <c r="AR102" s="80"/>
      <c r="AS102" s="80"/>
      <c r="AT102" s="80"/>
      <c r="AU102" s="80"/>
      <c r="AV102" s="80"/>
      <c r="AW102" s="80"/>
      <c r="AX102" s="80"/>
      <c r="AY102" s="80"/>
      <c r="AZ102" s="80"/>
    </row>
    <row r="103" spans="1:52" s="75" customFormat="1" x14ac:dyDescent="0.25">
      <c r="A103" s="110"/>
      <c r="B103" s="111"/>
      <c r="C103" s="112"/>
      <c r="D103" s="111"/>
      <c r="E103" s="555"/>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5"/>
      <c r="AI103" s="116" t="e">
        <f>IF(INDEX(TARIFF_TABLE[#All], MATCH($B103,TARIFF_TABLE[[#All],[Activity]],0),MATCH("ActivityType",TARIFF_TABLE[#Headers]))="Investigation",INDEX(TARIFF_TABLE[#All], MATCH($B103,TARIFF_TABLE[[#All],[Activity]],0),MATCH("Cost",TARIFF_TABLE[#Headers],0)),INDEX(Staff_Costs[#All],MATCH('Per-Participant Activities Arm4'!D103,Staff_Costs[[#All],[Role]],0),MATCH("Per-minute cost",Staff_Costs[#Headers],0))*'Per-Participant Activities Arm4'!C103)</f>
        <v>#N/A</v>
      </c>
      <c r="AJ103" s="117" t="e">
        <f t="shared" si="4"/>
        <v>#N/A</v>
      </c>
      <c r="AK103" s="117" t="e">
        <f t="shared" si="5"/>
        <v>#N/A</v>
      </c>
      <c r="AL103" s="117" t="e">
        <f t="shared" si="6"/>
        <v>#N/A</v>
      </c>
      <c r="AM103" s="117" t="e">
        <f t="shared" si="7"/>
        <v>#N/A</v>
      </c>
      <c r="AN103" s="117" t="e">
        <f t="shared" si="8"/>
        <v>#N/A</v>
      </c>
      <c r="AO103" s="107" t="e">
        <f>INDEX('Tariff (hidden)'!$B$4:$B$133,MATCH(B103,'Tariff (hidden)'!$A$4:$A$133,0))</f>
        <v>#N/A</v>
      </c>
      <c r="AP103" s="80"/>
      <c r="AQ103" s="80"/>
      <c r="AR103" s="80"/>
      <c r="AS103" s="80"/>
      <c r="AT103" s="80"/>
      <c r="AU103" s="80"/>
      <c r="AV103" s="80"/>
      <c r="AW103" s="80"/>
      <c r="AX103" s="80"/>
      <c r="AY103" s="80"/>
      <c r="AZ103" s="80"/>
    </row>
    <row r="104" spans="1:52" s="75" customFormat="1" x14ac:dyDescent="0.25">
      <c r="A104" s="110"/>
      <c r="B104" s="111"/>
      <c r="C104" s="112"/>
      <c r="D104" s="111"/>
      <c r="E104" s="555"/>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5"/>
      <c r="AI104" s="116" t="e">
        <f>IF(INDEX(TARIFF_TABLE[#All], MATCH($B104,TARIFF_TABLE[[#All],[Activity]],0),MATCH("ActivityType",TARIFF_TABLE[#Headers]))="Investigation",INDEX(TARIFF_TABLE[#All], MATCH($B104,TARIFF_TABLE[[#All],[Activity]],0),MATCH("Cost",TARIFF_TABLE[#Headers],0)),INDEX(Staff_Costs[#All],MATCH('Per-Participant Activities Arm4'!D104,Staff_Costs[[#All],[Role]],0),MATCH("Per-minute cost",Staff_Costs[#Headers],0))*'Per-Participant Activities Arm4'!C104)</f>
        <v>#N/A</v>
      </c>
      <c r="AJ104" s="117" t="e">
        <f t="shared" si="4"/>
        <v>#N/A</v>
      </c>
      <c r="AK104" s="117" t="e">
        <f t="shared" si="5"/>
        <v>#N/A</v>
      </c>
      <c r="AL104" s="117" t="e">
        <f t="shared" si="6"/>
        <v>#N/A</v>
      </c>
      <c r="AM104" s="117" t="e">
        <f t="shared" si="7"/>
        <v>#N/A</v>
      </c>
      <c r="AN104" s="117" t="e">
        <f t="shared" si="8"/>
        <v>#N/A</v>
      </c>
      <c r="AO104" s="107" t="e">
        <f>INDEX('Tariff (hidden)'!$B$4:$B$133,MATCH(B104,'Tariff (hidden)'!$A$4:$A$133,0))</f>
        <v>#N/A</v>
      </c>
      <c r="AP104" s="80"/>
      <c r="AQ104" s="80"/>
      <c r="AR104" s="80"/>
      <c r="AS104" s="80"/>
      <c r="AT104" s="80"/>
      <c r="AU104" s="80"/>
      <c r="AV104" s="80"/>
      <c r="AW104" s="80"/>
      <c r="AX104" s="80"/>
      <c r="AY104" s="80"/>
      <c r="AZ104" s="80"/>
    </row>
    <row r="105" spans="1:52" s="75" customFormat="1" x14ac:dyDescent="0.25">
      <c r="A105" s="110"/>
      <c r="B105" s="111"/>
      <c r="C105" s="112"/>
      <c r="D105" s="111"/>
      <c r="E105" s="555"/>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5"/>
      <c r="AI105" s="116" t="e">
        <f>IF(INDEX(TARIFF_TABLE[#All], MATCH($B105,TARIFF_TABLE[[#All],[Activity]],0),MATCH("ActivityType",TARIFF_TABLE[#Headers]))="Investigation",INDEX(TARIFF_TABLE[#All], MATCH($B105,TARIFF_TABLE[[#All],[Activity]],0),MATCH("Cost",TARIFF_TABLE[#Headers],0)),INDEX(Staff_Costs[#All],MATCH('Per-Participant Activities Arm4'!D105,Staff_Costs[[#All],[Role]],0),MATCH("Per-minute cost",Staff_Costs[#Headers],0))*'Per-Participant Activities Arm4'!C105)</f>
        <v>#N/A</v>
      </c>
      <c r="AJ105" s="117" t="e">
        <f t="shared" si="4"/>
        <v>#N/A</v>
      </c>
      <c r="AK105" s="117" t="e">
        <f t="shared" si="5"/>
        <v>#N/A</v>
      </c>
      <c r="AL105" s="117" t="e">
        <f t="shared" si="6"/>
        <v>#N/A</v>
      </c>
      <c r="AM105" s="117" t="e">
        <f t="shared" si="7"/>
        <v>#N/A</v>
      </c>
      <c r="AN105" s="117" t="e">
        <f t="shared" si="8"/>
        <v>#N/A</v>
      </c>
      <c r="AO105" s="107" t="e">
        <f>INDEX('Tariff (hidden)'!$B$4:$B$133,MATCH(B105,'Tariff (hidden)'!$A$4:$A$133,0))</f>
        <v>#N/A</v>
      </c>
      <c r="AP105" s="80"/>
      <c r="AQ105" s="80"/>
      <c r="AR105" s="80"/>
      <c r="AS105" s="80"/>
      <c r="AT105" s="80"/>
      <c r="AU105" s="80"/>
      <c r="AV105" s="80"/>
      <c r="AW105" s="80"/>
      <c r="AX105" s="80"/>
      <c r="AY105" s="80"/>
      <c r="AZ105" s="80"/>
    </row>
    <row r="106" spans="1:52" s="75" customFormat="1" x14ac:dyDescent="0.25">
      <c r="A106" s="110"/>
      <c r="B106" s="111"/>
      <c r="C106" s="112"/>
      <c r="D106" s="111"/>
      <c r="E106" s="555"/>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5"/>
      <c r="AI106" s="116" t="e">
        <f>IF(INDEX(TARIFF_TABLE[#All], MATCH($B106,TARIFF_TABLE[[#All],[Activity]],0),MATCH("ActivityType",TARIFF_TABLE[#Headers]))="Investigation",INDEX(TARIFF_TABLE[#All], MATCH($B106,TARIFF_TABLE[[#All],[Activity]],0),MATCH("Cost",TARIFF_TABLE[#Headers],0)),INDEX(Staff_Costs[#All],MATCH('Per-Participant Activities Arm4'!D106,Staff_Costs[[#All],[Role]],0),MATCH("Per-minute cost",Staff_Costs[#Headers],0))*'Per-Participant Activities Arm4'!C106)</f>
        <v>#N/A</v>
      </c>
      <c r="AJ106" s="117" t="e">
        <f t="shared" si="4"/>
        <v>#N/A</v>
      </c>
      <c r="AK106" s="117" t="e">
        <f t="shared" si="5"/>
        <v>#N/A</v>
      </c>
      <c r="AL106" s="117" t="e">
        <f t="shared" si="6"/>
        <v>#N/A</v>
      </c>
      <c r="AM106" s="117" t="e">
        <f t="shared" si="7"/>
        <v>#N/A</v>
      </c>
      <c r="AN106" s="117" t="e">
        <f t="shared" si="8"/>
        <v>#N/A</v>
      </c>
      <c r="AO106" s="107" t="e">
        <f>INDEX('Tariff (hidden)'!$B$4:$B$133,MATCH(B106,'Tariff (hidden)'!$A$4:$A$133,0))</f>
        <v>#N/A</v>
      </c>
      <c r="AP106" s="80"/>
      <c r="AQ106" s="80"/>
      <c r="AR106" s="80"/>
      <c r="AS106" s="80"/>
      <c r="AT106" s="80"/>
      <c r="AU106" s="80"/>
      <c r="AV106" s="80"/>
      <c r="AW106" s="80"/>
      <c r="AX106" s="80"/>
      <c r="AY106" s="80"/>
      <c r="AZ106" s="80"/>
    </row>
    <row r="107" spans="1:52" s="75" customFormat="1" x14ac:dyDescent="0.25">
      <c r="A107" s="110"/>
      <c r="B107" s="111"/>
      <c r="C107" s="112"/>
      <c r="D107" s="111"/>
      <c r="E107" s="555"/>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5"/>
      <c r="AI107" s="116" t="e">
        <f>IF(INDEX(TARIFF_TABLE[#All], MATCH($B107,TARIFF_TABLE[[#All],[Activity]],0),MATCH("ActivityType",TARIFF_TABLE[#Headers]))="Investigation",INDEX(TARIFF_TABLE[#All], MATCH($B107,TARIFF_TABLE[[#All],[Activity]],0),MATCH("Cost",TARIFF_TABLE[#Headers],0)),INDEX(Staff_Costs[#All],MATCH('Per-Participant Activities Arm4'!D107,Staff_Costs[[#All],[Role]],0),MATCH("Per-minute cost",Staff_Costs[#Headers],0))*'Per-Participant Activities Arm4'!C107)</f>
        <v>#N/A</v>
      </c>
      <c r="AJ107" s="117" t="e">
        <f t="shared" si="4"/>
        <v>#N/A</v>
      </c>
      <c r="AK107" s="117" t="e">
        <f t="shared" si="5"/>
        <v>#N/A</v>
      </c>
      <c r="AL107" s="117" t="e">
        <f t="shared" si="6"/>
        <v>#N/A</v>
      </c>
      <c r="AM107" s="117" t="e">
        <f t="shared" si="7"/>
        <v>#N/A</v>
      </c>
      <c r="AN107" s="117" t="e">
        <f t="shared" si="8"/>
        <v>#N/A</v>
      </c>
      <c r="AO107" s="107" t="e">
        <f>INDEX('Tariff (hidden)'!$B$4:$B$133,MATCH(B107,'Tariff (hidden)'!$A$4:$A$133,0))</f>
        <v>#N/A</v>
      </c>
      <c r="AP107" s="80"/>
      <c r="AQ107" s="80"/>
      <c r="AR107" s="80"/>
      <c r="AS107" s="80"/>
      <c r="AT107" s="80"/>
      <c r="AU107" s="80"/>
      <c r="AV107" s="80"/>
      <c r="AW107" s="80"/>
      <c r="AX107" s="80"/>
      <c r="AY107" s="80"/>
      <c r="AZ107" s="80"/>
    </row>
    <row r="108" spans="1:52" s="75" customFormat="1" x14ac:dyDescent="0.25">
      <c r="A108" s="110"/>
      <c r="B108" s="111"/>
      <c r="C108" s="112"/>
      <c r="D108" s="111"/>
      <c r="E108" s="555"/>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5"/>
      <c r="AI108" s="116" t="e">
        <f>IF(INDEX(TARIFF_TABLE[#All], MATCH($B108,TARIFF_TABLE[[#All],[Activity]],0),MATCH("ActivityType",TARIFF_TABLE[#Headers]))="Investigation",INDEX(TARIFF_TABLE[#All], MATCH($B108,TARIFF_TABLE[[#All],[Activity]],0),MATCH("Cost",TARIFF_TABLE[#Headers],0)),INDEX(Staff_Costs[#All],MATCH('Per-Participant Activities Arm4'!D108,Staff_Costs[[#All],[Role]],0),MATCH("Per-minute cost",Staff_Costs[#Headers],0))*'Per-Participant Activities Arm4'!C108)</f>
        <v>#N/A</v>
      </c>
      <c r="AJ108" s="117" t="e">
        <f t="shared" si="4"/>
        <v>#N/A</v>
      </c>
      <c r="AK108" s="117" t="e">
        <f t="shared" si="5"/>
        <v>#N/A</v>
      </c>
      <c r="AL108" s="117" t="e">
        <f t="shared" si="6"/>
        <v>#N/A</v>
      </c>
      <c r="AM108" s="117" t="e">
        <f t="shared" si="7"/>
        <v>#N/A</v>
      </c>
      <c r="AN108" s="117" t="e">
        <f t="shared" si="8"/>
        <v>#N/A</v>
      </c>
      <c r="AO108" s="107" t="e">
        <f>INDEX('Tariff (hidden)'!$B$4:$B$133,MATCH(B108,'Tariff (hidden)'!$A$4:$A$133,0))</f>
        <v>#N/A</v>
      </c>
      <c r="AP108" s="80"/>
      <c r="AQ108" s="80"/>
      <c r="AR108" s="80"/>
      <c r="AS108" s="80"/>
      <c r="AT108" s="80"/>
      <c r="AU108" s="80"/>
      <c r="AV108" s="80"/>
      <c r="AW108" s="80"/>
      <c r="AX108" s="80"/>
      <c r="AY108" s="80"/>
      <c r="AZ108" s="80"/>
    </row>
    <row r="109" spans="1:52" s="75" customFormat="1" x14ac:dyDescent="0.25">
      <c r="A109" s="110"/>
      <c r="B109" s="111"/>
      <c r="C109" s="112"/>
      <c r="D109" s="111"/>
      <c r="E109" s="555"/>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5"/>
      <c r="AI109" s="116" t="e">
        <f>IF(INDEX(TARIFF_TABLE[#All], MATCH($B109,TARIFF_TABLE[[#All],[Activity]],0),MATCH("ActivityType",TARIFF_TABLE[#Headers]))="Investigation",INDEX(TARIFF_TABLE[#All], MATCH($B109,TARIFF_TABLE[[#All],[Activity]],0),MATCH("Cost",TARIFF_TABLE[#Headers],0)),INDEX(Staff_Costs[#All],MATCH('Per-Participant Activities Arm4'!D109,Staff_Costs[[#All],[Role]],0),MATCH("Per-minute cost",Staff_Costs[#Headers],0))*'Per-Participant Activities Arm4'!C109)</f>
        <v>#N/A</v>
      </c>
      <c r="AJ109" s="117" t="e">
        <f t="shared" si="4"/>
        <v>#N/A</v>
      </c>
      <c r="AK109" s="117" t="e">
        <f t="shared" si="5"/>
        <v>#N/A</v>
      </c>
      <c r="AL109" s="117" t="e">
        <f t="shared" si="6"/>
        <v>#N/A</v>
      </c>
      <c r="AM109" s="117" t="e">
        <f t="shared" si="7"/>
        <v>#N/A</v>
      </c>
      <c r="AN109" s="117" t="e">
        <f t="shared" si="8"/>
        <v>#N/A</v>
      </c>
      <c r="AO109" s="107" t="e">
        <f>INDEX('Tariff (hidden)'!$B$4:$B$133,MATCH(B109,'Tariff (hidden)'!$A$4:$A$133,0))</f>
        <v>#N/A</v>
      </c>
      <c r="AP109" s="80"/>
      <c r="AQ109" s="80"/>
      <c r="AR109" s="80"/>
      <c r="AS109" s="80"/>
      <c r="AT109" s="80"/>
      <c r="AU109" s="80"/>
      <c r="AV109" s="80"/>
      <c r="AW109" s="80"/>
      <c r="AX109" s="80"/>
      <c r="AY109" s="80"/>
      <c r="AZ109" s="80"/>
    </row>
    <row r="110" spans="1:52" s="75" customFormat="1" x14ac:dyDescent="0.25">
      <c r="A110" s="110"/>
      <c r="B110" s="111"/>
      <c r="C110" s="112"/>
      <c r="D110" s="111"/>
      <c r="E110" s="555"/>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5"/>
      <c r="AI110" s="116" t="e">
        <f>IF(INDEX(TARIFF_TABLE[#All], MATCH($B110,TARIFF_TABLE[[#All],[Activity]],0),MATCH("ActivityType",TARIFF_TABLE[#Headers]))="Investigation",INDEX(TARIFF_TABLE[#All], MATCH($B110,TARIFF_TABLE[[#All],[Activity]],0),MATCH("Cost",TARIFF_TABLE[#Headers],0)),INDEX(Staff_Costs[#All],MATCH('Per-Participant Activities Arm4'!D110,Staff_Costs[[#All],[Role]],0),MATCH("Per-minute cost",Staff_Costs[#Headers],0))*'Per-Participant Activities Arm4'!C110)</f>
        <v>#N/A</v>
      </c>
      <c r="AJ110" s="117" t="e">
        <f t="shared" si="4"/>
        <v>#N/A</v>
      </c>
      <c r="AK110" s="117" t="e">
        <f t="shared" si="5"/>
        <v>#N/A</v>
      </c>
      <c r="AL110" s="117" t="e">
        <f t="shared" si="6"/>
        <v>#N/A</v>
      </c>
      <c r="AM110" s="117" t="e">
        <f t="shared" si="7"/>
        <v>#N/A</v>
      </c>
      <c r="AN110" s="117" t="e">
        <f t="shared" si="8"/>
        <v>#N/A</v>
      </c>
      <c r="AO110" s="107" t="e">
        <f>INDEX('Tariff (hidden)'!$B$4:$B$133,MATCH(B110,'Tariff (hidden)'!$A$4:$A$133,0))</f>
        <v>#N/A</v>
      </c>
      <c r="AP110" s="80"/>
      <c r="AQ110" s="80"/>
      <c r="AR110" s="80"/>
      <c r="AS110" s="80"/>
      <c r="AT110" s="80"/>
      <c r="AU110" s="80"/>
      <c r="AV110" s="80"/>
      <c r="AW110" s="80"/>
      <c r="AX110" s="80"/>
      <c r="AY110" s="80"/>
      <c r="AZ110" s="80"/>
    </row>
  </sheetData>
  <sheetProtection algorithmName="SHA-512" hashValue="BlElYjZUHQ9kxfaM1RuPUwy1T84wUI30fyMZczmXFFlR6WThKlPMrfHJVHpSvgEMHnnKBwzprpVFi+FeikL+KQ==" saltValue="jgjPvT6l5KJ/XZzJS1moSA==" spinCount="100000" sheet="1" objects="1" scenarios="1" insertColumns="0"/>
  <mergeCells count="8">
    <mergeCell ref="K4:L4"/>
    <mergeCell ref="N4:R4"/>
    <mergeCell ref="G2:I2"/>
    <mergeCell ref="K2:L2"/>
    <mergeCell ref="N2:R2"/>
    <mergeCell ref="G3:H3"/>
    <mergeCell ref="K3:L3"/>
    <mergeCell ref="N3:R3"/>
  </mergeCells>
  <conditionalFormatting sqref="C10 C12:C60">
    <cfRule type="expression" dxfId="598" priority="6">
      <formula>IF($AO10="investigation",TRUE,FALSE)</formula>
    </cfRule>
  </conditionalFormatting>
  <conditionalFormatting sqref="C11">
    <cfRule type="expression" dxfId="597" priority="3">
      <formula>IF($AO11="investigation",TRUE,FALSE)</formula>
    </cfRule>
  </conditionalFormatting>
  <conditionalFormatting sqref="C61:C110">
    <cfRule type="expression" dxfId="596" priority="1">
      <formula>IF($AO61="investigation",TRUE,FALSE)</formula>
    </cfRule>
  </conditionalFormatting>
  <dataValidations xWindow="661" yWindow="444" count="7">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 sqref="C10:C11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dataValidation type="textLength" allowBlank="1" showInputMessage="1" showErrorMessage="1" error="Input limited to 100 characters including spaces" sqref="B5">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A110"/>
  <sheetViews>
    <sheetView showGridLines="0" workbookViewId="0">
      <selection activeCell="B6" sqref="B6"/>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8.42578125" customWidth="1"/>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28.5" x14ac:dyDescent="0.25">
      <c r="A5" s="62" t="s">
        <v>688</v>
      </c>
      <c r="B5" s="578"/>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350</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127"/>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56"/>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Arm5'!D10,Staff_Costs[[#All],[Role]],0),MATCH("Per-minute cost",Staff_Costs[#Headers],0))*'Per-Participant Activities Arm5'!C10)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56"/>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Arm5'!D11,Staff_Costs[[#All],[Role]],0),MATCH("Per-minute cost",Staff_Costs[#Headers],0))*'Per-Participant Activities Arm5'!C11)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56"/>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Arm5'!D12,Staff_Costs[[#All],[Role]],0),MATCH("Per-minute cost",Staff_Costs[#Headers],0))*'Per-Participant Activities Arm5'!C12)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56"/>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Arm5'!D13,Staff_Costs[[#All],[Role]],0),MATCH("Per-minute cost",Staff_Costs[#Headers],0))*'Per-Participant Activities Arm5'!C13)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56"/>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Arm5'!D14,Staff_Costs[[#All],[Role]],0),MATCH("Per-minute cost",Staff_Costs[#Headers],0))*'Per-Participant Activities Arm5'!C14)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56"/>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Arm5'!D15,Staff_Costs[[#All],[Role]],0),MATCH("Per-minute cost",Staff_Costs[#Headers],0))*'Per-Participant Activities Arm5'!C15)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56"/>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Arm5'!D16,Staff_Costs[[#All],[Role]],0),MATCH("Per-minute cost",Staff_Costs[#Headers],0))*'Per-Participant Activities Arm5'!C16)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56"/>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Arm5'!D17,Staff_Costs[[#All],[Role]],0),MATCH("Per-minute cost",Staff_Costs[#Headers],0))*'Per-Participant Activities Arm5'!C17)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56"/>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Arm5'!D18,Staff_Costs[[#All],[Role]],0),MATCH("Per-minute cost",Staff_Costs[#Headers],0))*'Per-Participant Activities Arm5'!C18)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56"/>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Arm5'!D19,Staff_Costs[[#All],[Role]],0),MATCH("Per-minute cost",Staff_Costs[#Headers],0))*'Per-Participant Activities Arm5'!C19)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56"/>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Arm5'!D20,Staff_Costs[[#All],[Role]],0),MATCH("Per-minute cost",Staff_Costs[#Headers],0))*'Per-Participant Activities Arm5'!C20)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56"/>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Arm5'!D21,Staff_Costs[[#All],[Role]],0),MATCH("Per-minute cost",Staff_Costs[#Headers],0))*'Per-Participant Activities Arm5'!C21)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56"/>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Arm5'!D22,Staff_Costs[[#All],[Role]],0),MATCH("Per-minute cost",Staff_Costs[#Headers],0))*'Per-Participant Activities Arm5'!C22)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56"/>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Arm5'!D23,Staff_Costs[[#All],[Role]],0),MATCH("Per-minute cost",Staff_Costs[#Headers],0))*'Per-Participant Activities Arm5'!C23)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5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Arm5'!D24,Staff_Costs[[#All],[Role]],0),MATCH("Per-minute cost",Staff_Costs[#Headers],0))*'Per-Participant Activities Arm5'!C24)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56"/>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Arm5'!D25,Staff_Costs[[#All],[Role]],0),MATCH("Per-minute cost",Staff_Costs[#Headers],0))*'Per-Participant Activities Arm5'!C25)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56"/>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Arm5'!D26,Staff_Costs[[#All],[Role]],0),MATCH("Per-minute cost",Staff_Costs[#Headers],0))*'Per-Participant Activities Arm5'!C26)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56"/>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Arm5'!D27,Staff_Costs[[#All],[Role]],0),MATCH("Per-minute cost",Staff_Costs[#Headers],0))*'Per-Participant Activities Arm5'!C27)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56"/>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Arm5'!D28,Staff_Costs[[#All],[Role]],0),MATCH("Per-minute cost",Staff_Costs[#Headers],0))*'Per-Participant Activities Arm5'!C28)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56"/>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Arm5'!D29,Staff_Costs[[#All],[Role]],0),MATCH("Per-minute cost",Staff_Costs[#Headers],0))*'Per-Participant Activities Arm5'!C29)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56"/>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Arm5'!D30,Staff_Costs[[#All],[Role]],0),MATCH("Per-minute cost",Staff_Costs[#Headers],0))*'Per-Participant Activities Arm5'!C30)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56"/>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Arm5'!D31,Staff_Costs[[#All],[Role]],0),MATCH("Per-minute cost",Staff_Costs[#Headers],0))*'Per-Participant Activities Arm5'!C31)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56"/>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Arm5'!D32,Staff_Costs[[#All],[Role]],0),MATCH("Per-minute cost",Staff_Costs[#Headers],0))*'Per-Participant Activities Arm5'!C32)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56"/>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Arm5'!D33,Staff_Costs[[#All],[Role]],0),MATCH("Per-minute cost",Staff_Costs[#Headers],0))*'Per-Participant Activities Arm5'!C33)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56"/>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Arm5'!D34,Staff_Costs[[#All],[Role]],0),MATCH("Per-minute cost",Staff_Costs[#Headers],0))*'Per-Participant Activities Arm5'!C34)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56"/>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Arm5'!D35,Staff_Costs[[#All],[Role]],0),MATCH("Per-minute cost",Staff_Costs[#Headers],0))*'Per-Participant Activities Arm5'!C35)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56"/>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Arm5'!D36,Staff_Costs[[#All],[Role]],0),MATCH("Per-minute cost",Staff_Costs[#Headers],0))*'Per-Participant Activities Arm5'!C36)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56"/>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Arm5'!D37,Staff_Costs[[#All],[Role]],0),MATCH("Per-minute cost",Staff_Costs[#Headers],0))*'Per-Participant Activities Arm5'!C37)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56"/>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Arm5'!D38,Staff_Costs[[#All],[Role]],0),MATCH("Per-minute cost",Staff_Costs[#Headers],0))*'Per-Participant Activities Arm5'!C38)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56"/>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Arm5'!D39,Staff_Costs[[#All],[Role]],0),MATCH("Per-minute cost",Staff_Costs[#Headers],0))*'Per-Participant Activities Arm5'!C39)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5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Arm5'!D40,Staff_Costs[[#All],[Role]],0),MATCH("Per-minute cost",Staff_Costs[#Headers],0))*'Per-Participant Activities Arm5'!C40)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5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Arm5'!D41,Staff_Costs[[#All],[Role]],0),MATCH("Per-minute cost",Staff_Costs[#Headers],0))*'Per-Participant Activities Arm5'!C41)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56"/>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Arm5'!D42,Staff_Costs[[#All],[Role]],0),MATCH("Per-minute cost",Staff_Costs[#Headers],0))*'Per-Participant Activities Arm5'!C42)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56"/>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Arm5'!D43,Staff_Costs[[#All],[Role]],0),MATCH("Per-minute cost",Staff_Costs[#Headers],0))*'Per-Participant Activities Arm5'!C43)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56"/>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Arm5'!D44,Staff_Costs[[#All],[Role]],0),MATCH("Per-minute cost",Staff_Costs[#Headers],0))*'Per-Participant Activities Arm5'!C44)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5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Arm5'!D45,Staff_Costs[[#All],[Role]],0),MATCH("Per-minute cost",Staff_Costs[#Headers],0))*'Per-Participant Activities Arm5'!C45)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56"/>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Arm5'!D46,Staff_Costs[[#All],[Role]],0),MATCH("Per-minute cost",Staff_Costs[#Headers],0))*'Per-Participant Activities Arm5'!C46)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56"/>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Arm5'!D47,Staff_Costs[[#All],[Role]],0),MATCH("Per-minute cost",Staff_Costs[#Headers],0))*'Per-Participant Activities Arm5'!C47)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56"/>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Arm5'!D48,Staff_Costs[[#All],[Role]],0),MATCH("Per-minute cost",Staff_Costs[#Headers],0))*'Per-Participant Activities Arm5'!C48)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56"/>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Arm5'!D49,Staff_Costs[[#All],[Role]],0),MATCH("Per-minute cost",Staff_Costs[#Headers],0))*'Per-Participant Activities Arm5'!C49)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56"/>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Arm5'!D50,Staff_Costs[[#All],[Role]],0),MATCH("Per-minute cost",Staff_Costs[#Headers],0))*'Per-Participant Activities Arm5'!C50)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56"/>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Arm5'!D51,Staff_Costs[[#All],[Role]],0),MATCH("Per-minute cost",Staff_Costs[#Headers],0))*'Per-Participant Activities Arm5'!C51)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56"/>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Arm5'!D52,Staff_Costs[[#All],[Role]],0),MATCH("Per-minute cost",Staff_Costs[#Headers],0))*'Per-Participant Activities Arm5'!C52)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56"/>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Arm5'!D53,Staff_Costs[[#All],[Role]],0),MATCH("Per-minute cost",Staff_Costs[#Headers],0))*'Per-Participant Activities Arm5'!C53)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56"/>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Arm5'!D54,Staff_Costs[[#All],[Role]],0),MATCH("Per-minute cost",Staff_Costs[#Headers],0))*'Per-Participant Activities Arm5'!C54)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56"/>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Arm5'!D55,Staff_Costs[[#All],[Role]],0),MATCH("Per-minute cost",Staff_Costs[#Headers],0))*'Per-Participant Activities Arm5'!C55)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56"/>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Arm5'!D56,Staff_Costs[[#All],[Role]],0),MATCH("Per-minute cost",Staff_Costs[#Headers],0))*'Per-Participant Activities Arm5'!C56)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56"/>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Arm5'!D57,Staff_Costs[[#All],[Role]],0),MATCH("Per-minute cost",Staff_Costs[#Headers],0))*'Per-Participant Activities Arm5'!C57)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56"/>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Arm5'!D58,Staff_Costs[[#All],[Role]],0),MATCH("Per-minute cost",Staff_Costs[#Headers],0))*'Per-Participant Activities Arm5'!C58)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56"/>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Arm5'!D59,Staff_Costs[[#All],[Role]],0),MATCH("Per-minute cost",Staff_Costs[#Headers],0))*'Per-Participant Activities Arm5'!C59)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56"/>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Arm5'!D60,Staff_Costs[[#All],[Role]],0),MATCH("Per-minute cost",Staff_Costs[#Headers],0))*'Per-Participant Activities Arm5'!C60)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56"/>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Arm5'!D61,Staff_Costs[[#All],[Role]],0),MATCH("Per-minute cost",Staff_Costs[#Headers],0))*'Per-Participant Activities Arm5'!C61)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56"/>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Arm5'!D62,Staff_Costs[[#All],[Role]],0),MATCH("Per-minute cost",Staff_Costs[#Headers],0))*'Per-Participant Activities Arm5'!C62)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56"/>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Arm5'!D63,Staff_Costs[[#All],[Role]],0),MATCH("Per-minute cost",Staff_Costs[#Headers],0))*'Per-Participant Activities Arm5'!C63)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56"/>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Arm5'!D64,Staff_Costs[[#All],[Role]],0),MATCH("Per-minute cost",Staff_Costs[#Headers],0))*'Per-Participant Activities Arm5'!C64)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56"/>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Arm5'!D65,Staff_Costs[[#All],[Role]],0),MATCH("Per-minute cost",Staff_Costs[#Headers],0))*'Per-Participant Activities Arm5'!C65)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56"/>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Arm5'!D66,Staff_Costs[[#All],[Role]],0),MATCH("Per-minute cost",Staff_Costs[#Headers],0))*'Per-Participant Activities Arm5'!C66)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56"/>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Arm5'!D67,Staff_Costs[[#All],[Role]],0),MATCH("Per-minute cost",Staff_Costs[#Headers],0))*'Per-Participant Activities Arm5'!C67)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56"/>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Arm5'!D68,Staff_Costs[[#All],[Role]],0),MATCH("Per-minute cost",Staff_Costs[#Headers],0))*'Per-Participant Activities Arm5'!C68)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56"/>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Arm5'!D69,Staff_Costs[[#All],[Role]],0),MATCH("Per-minute cost",Staff_Costs[#Headers],0))*'Per-Participant Activities Arm5'!C69)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56"/>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Arm5'!D70,Staff_Costs[[#All],[Role]],0),MATCH("Per-minute cost",Staff_Costs[#Headers],0))*'Per-Participant Activities Arm5'!C70)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56"/>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Arm5'!D71,Staff_Costs[[#All],[Role]],0),MATCH("Per-minute cost",Staff_Costs[#Headers],0))*'Per-Participant Activities Arm5'!C71)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56"/>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Arm5'!D72,Staff_Costs[[#All],[Role]],0),MATCH("Per-minute cost",Staff_Costs[#Headers],0))*'Per-Participant Activities Arm5'!C72)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56"/>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Arm5'!D73,Staff_Costs[[#All],[Role]],0),MATCH("Per-minute cost",Staff_Costs[#Headers],0))*'Per-Participant Activities Arm5'!C73)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56"/>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Arm5'!D74,Staff_Costs[[#All],[Role]],0),MATCH("Per-minute cost",Staff_Costs[#Headers],0))*'Per-Participant Activities Arm5'!C74)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56"/>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Arm5'!D75,Staff_Costs[[#All],[Role]],0),MATCH("Per-minute cost",Staff_Costs[#Headers],0))*'Per-Participant Activities Arm5'!C75)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56"/>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Arm5'!D76,Staff_Costs[[#All],[Role]],0),MATCH("Per-minute cost",Staff_Costs[#Headers],0))*'Per-Participant Activities Arm5'!C76)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56"/>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Arm5'!D77,Staff_Costs[[#All],[Role]],0),MATCH("Per-minute cost",Staff_Costs[#Headers],0))*'Per-Participant Activities Arm5'!C77)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56"/>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Arm5'!D78,Staff_Costs[[#All],[Role]],0),MATCH("Per-minute cost",Staff_Costs[#Headers],0))*'Per-Participant Activities Arm5'!C78)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56"/>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Arm5'!D79,Staff_Costs[[#All],[Role]],0),MATCH("Per-minute cost",Staff_Costs[#Headers],0))*'Per-Participant Activities Arm5'!C79)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56"/>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Arm5'!D80,Staff_Costs[[#All],[Role]],0),MATCH("Per-minute cost",Staff_Costs[#Headers],0))*'Per-Participant Activities Arm5'!C80)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56"/>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Arm5'!D81,Staff_Costs[[#All],[Role]],0),MATCH("Per-minute cost",Staff_Costs[#Headers],0))*'Per-Participant Activities Arm5'!C81)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56"/>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Arm5'!D82,Staff_Costs[[#All],[Role]],0),MATCH("Per-minute cost",Staff_Costs[#Headers],0))*'Per-Participant Activities Arm5'!C82)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56"/>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Arm5'!D83,Staff_Costs[[#All],[Role]],0),MATCH("Per-minute cost",Staff_Costs[#Headers],0))*'Per-Participant Activities Arm5'!C83)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56"/>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Arm5'!D84,Staff_Costs[[#All],[Role]],0),MATCH("Per-minute cost",Staff_Costs[#Headers],0))*'Per-Participant Activities Arm5'!C84)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56"/>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Arm5'!D85,Staff_Costs[[#All],[Role]],0),MATCH("Per-minute cost",Staff_Costs[#Headers],0))*'Per-Participant Activities Arm5'!C85)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56"/>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Arm5'!D86,Staff_Costs[[#All],[Role]],0),MATCH("Per-minute cost",Staff_Costs[#Headers],0))*'Per-Participant Activities Arm5'!C86)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56"/>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Arm5'!D87,Staff_Costs[[#All],[Role]],0),MATCH("Per-minute cost",Staff_Costs[#Headers],0))*'Per-Participant Activities Arm5'!C87)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56"/>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Arm5'!D88,Staff_Costs[[#All],[Role]],0),MATCH("Per-minute cost",Staff_Costs[#Headers],0))*'Per-Participant Activities Arm5'!C88)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56"/>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Arm5'!D89,Staff_Costs[[#All],[Role]],0),MATCH("Per-minute cost",Staff_Costs[#Headers],0))*'Per-Participant Activities Arm5'!C89)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56"/>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Arm5'!D90,Staff_Costs[[#All],[Role]],0),MATCH("Per-minute cost",Staff_Costs[#Headers],0))*'Per-Participant Activities Arm5'!C90)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56"/>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Arm5'!D91,Staff_Costs[[#All],[Role]],0),MATCH("Per-minute cost",Staff_Costs[#Headers],0))*'Per-Participant Activities Arm5'!C91)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56"/>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Arm5'!D92,Staff_Costs[[#All],[Role]],0),MATCH("Per-minute cost",Staff_Costs[#Headers],0))*'Per-Participant Activities Arm5'!C92)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56"/>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Arm5'!D93,Staff_Costs[[#All],[Role]],0),MATCH("Per-minute cost",Staff_Costs[#Headers],0))*'Per-Participant Activities Arm5'!C93)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56"/>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Arm5'!D94,Staff_Costs[[#All],[Role]],0),MATCH("Per-minute cost",Staff_Costs[#Headers],0))*'Per-Participant Activities Arm5'!C94)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56"/>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Arm5'!D95,Staff_Costs[[#All],[Role]],0),MATCH("Per-minute cost",Staff_Costs[#Headers],0))*'Per-Participant Activities Arm5'!C95)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56"/>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Arm5'!D96,Staff_Costs[[#All],[Role]],0),MATCH("Per-minute cost",Staff_Costs[#Headers],0))*'Per-Participant Activities Arm5'!C96)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56"/>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Arm5'!D97,Staff_Costs[[#All],[Role]],0),MATCH("Per-minute cost",Staff_Costs[#Headers],0))*'Per-Participant Activities Arm5'!C97)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56"/>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Arm5'!D98,Staff_Costs[[#All],[Role]],0),MATCH("Per-minute cost",Staff_Costs[#Headers],0))*'Per-Participant Activities Arm5'!C98)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56"/>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Arm5'!D99,Staff_Costs[[#All],[Role]],0),MATCH("Per-minute cost",Staff_Costs[#Headers],0))*'Per-Participant Activities Arm5'!C99)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56"/>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Arm5'!D100,Staff_Costs[[#All],[Role]],0),MATCH("Per-minute cost",Staff_Costs[#Headers],0))*'Per-Participant Activities Arm5'!C100)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56"/>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Arm5'!D101,Staff_Costs[[#All],[Role]],0),MATCH("Per-minute cost",Staff_Costs[#Headers],0))*'Per-Participant Activities Arm5'!C101)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56"/>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Arm5'!D102,Staff_Costs[[#All],[Role]],0),MATCH("Per-minute cost",Staff_Costs[#Headers],0))*'Per-Participant Activities Arm5'!C102)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56"/>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Arm5'!D103,Staff_Costs[[#All],[Role]],0),MATCH("Per-minute cost",Staff_Costs[#Headers],0))*'Per-Participant Activities Arm5'!C103)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56"/>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Arm5'!D104,Staff_Costs[[#All],[Role]],0),MATCH("Per-minute cost",Staff_Costs[#Headers],0))*'Per-Participant Activities Arm5'!C104)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56"/>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Arm5'!D105,Staff_Costs[[#All],[Role]],0),MATCH("Per-minute cost",Staff_Costs[#Headers],0))*'Per-Participant Activities Arm5'!C105)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56"/>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Arm5'!D106,Staff_Costs[[#All],[Role]],0),MATCH("Per-minute cost",Staff_Costs[#Headers],0))*'Per-Participant Activities Arm5'!C106)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56"/>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Arm5'!D107,Staff_Costs[[#All],[Role]],0),MATCH("Per-minute cost",Staff_Costs[#Headers],0))*'Per-Participant Activities Arm5'!C107)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56"/>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Arm5'!D108,Staff_Costs[[#All],[Role]],0),MATCH("Per-minute cost",Staff_Costs[#Headers],0))*'Per-Participant Activities Arm5'!C108)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56"/>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Arm5'!D109,Staff_Costs[[#All],[Role]],0),MATCH("Per-minute cost",Staff_Costs[#Headers],0))*'Per-Participant Activities Arm5'!C109)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56"/>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Arm5'!D110,Staff_Costs[[#All],[Role]],0),MATCH("Per-minute cost",Staff_Costs[#Headers],0))*'Per-Participant Activities Arm5'!C110)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7vcfL99qr2YxnXeAv4ZiF9NNrskYZg6tlhfm1C54ugBgUogx4uavA1+mvkuRReMV9OFqjmTri6RxaBkTn+vC9g==" saltValue="2VgiwyrQf4VgIhanfdlWC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51" priority="3">
      <formula>IF($AO10="investigation",TRUE,FALSE)</formula>
    </cfRule>
  </conditionalFormatting>
  <conditionalFormatting sqref="C11">
    <cfRule type="expression" dxfId="550" priority="2">
      <formula>IF($AO11="investigation",TRUE,FALSE)</formula>
    </cfRule>
  </conditionalFormatting>
  <conditionalFormatting sqref="C65:C110">
    <cfRule type="expression" dxfId="549" priority="1">
      <formula>IF($AO65="investigation",TRUE,FALSE)</formula>
    </cfRule>
  </conditionalFormatting>
  <dataValidations xWindow="483" yWindow="600" count="8">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10">
      <formula1>INDIRECT(SUBSTITUTE($A110," ","_"))</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09">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dataValidation type="textLength" allowBlank="1" showInputMessage="1" showErrorMessage="1" error="Input limited to 100 characters including spaces." sqref="B5">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10"/>
  <sheetViews>
    <sheetView showGridLines="0" workbookViewId="0">
      <selection activeCell="C5" sqref="C5"/>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94"/>
      <c r="H2" s="594"/>
      <c r="I2" s="594"/>
      <c r="J2" s="41"/>
      <c r="K2" s="599"/>
      <c r="L2" s="600"/>
      <c r="M2" s="50"/>
      <c r="N2" s="601"/>
      <c r="O2" s="602"/>
      <c r="P2" s="602"/>
      <c r="Q2" s="602"/>
      <c r="R2" s="602"/>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93"/>
      <c r="H3" s="593"/>
      <c r="I3" s="43"/>
      <c r="J3" s="41"/>
      <c r="K3" s="599"/>
      <c r="L3" s="600"/>
      <c r="M3" s="50"/>
      <c r="N3" s="601"/>
      <c r="O3" s="602"/>
      <c r="P3" s="602"/>
      <c r="Q3" s="602"/>
      <c r="R3" s="602"/>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t="str">
        <f>'Study Information'!$B$11</f>
        <v>No</v>
      </c>
      <c r="AX3" s="6"/>
      <c r="AY3" s="6"/>
      <c r="AZ3" s="6"/>
      <c r="BA3" s="6"/>
    </row>
    <row r="4" spans="1:53" ht="18" customHeight="1" x14ac:dyDescent="0.25">
      <c r="A4" s="62" t="s">
        <v>232</v>
      </c>
      <c r="B4" s="24">
        <f>IRAS_REF</f>
        <v>281958</v>
      </c>
      <c r="C4" s="53"/>
      <c r="D4" s="13"/>
      <c r="E4" s="13"/>
      <c r="F4" s="12"/>
      <c r="G4" s="12"/>
      <c r="H4" s="12"/>
      <c r="I4" s="51"/>
      <c r="J4" s="13"/>
      <c r="K4" s="597"/>
      <c r="L4" s="605"/>
      <c r="M4" s="52"/>
      <c r="N4" s="606"/>
      <c r="O4" s="607"/>
      <c r="P4" s="607"/>
      <c r="Q4" s="607"/>
      <c r="R4" s="607"/>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623</v>
      </c>
      <c r="B6" s="466"/>
      <c r="C6" s="54"/>
      <c r="D6" s="28"/>
      <c r="E6" s="28"/>
      <c r="F6" s="125" t="str">
        <f>IF(AW3=0,"Please complete Q3 in the 'Study Information' tab before completing column E onwards","")</f>
        <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8"/>
      <c r="AJ6" s="6"/>
      <c r="AK6" s="163"/>
      <c r="AL6" s="163"/>
      <c r="AM6" s="163"/>
      <c r="AN6" s="163"/>
      <c r="AO6" s="163"/>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5" customFormat="1" ht="71.25" x14ac:dyDescent="0.2">
      <c r="A8" s="95" t="s">
        <v>513</v>
      </c>
      <c r="B8" s="96" t="s">
        <v>520</v>
      </c>
      <c r="C8" s="97" t="s">
        <v>515</v>
      </c>
      <c r="D8" s="213" t="s">
        <v>674</v>
      </c>
      <c r="E8" s="539" t="s">
        <v>675</v>
      </c>
      <c r="F8" s="99" t="s">
        <v>0</v>
      </c>
      <c r="G8" s="99" t="s">
        <v>1</v>
      </c>
      <c r="H8" s="99" t="s">
        <v>195</v>
      </c>
      <c r="I8" s="99" t="s">
        <v>196</v>
      </c>
      <c r="J8" s="99" t="s">
        <v>197</v>
      </c>
      <c r="K8" s="99" t="s">
        <v>198</v>
      </c>
      <c r="L8" s="99" t="s">
        <v>199</v>
      </c>
      <c r="M8" s="99" t="s">
        <v>200</v>
      </c>
      <c r="N8" s="99" t="s">
        <v>201</v>
      </c>
      <c r="O8" s="99" t="s">
        <v>202</v>
      </c>
      <c r="P8" s="99" t="s">
        <v>203</v>
      </c>
      <c r="Q8" s="99" t="s">
        <v>204</v>
      </c>
      <c r="R8" s="99" t="s">
        <v>205</v>
      </c>
      <c r="S8" s="99" t="s">
        <v>206</v>
      </c>
      <c r="T8" s="99" t="s">
        <v>207</v>
      </c>
      <c r="U8" s="99" t="s">
        <v>208</v>
      </c>
      <c r="V8" s="99" t="s">
        <v>209</v>
      </c>
      <c r="W8" s="99" t="s">
        <v>210</v>
      </c>
      <c r="X8" s="99" t="s">
        <v>211</v>
      </c>
      <c r="Y8" s="99" t="s">
        <v>212</v>
      </c>
      <c r="Z8" s="99" t="s">
        <v>213</v>
      </c>
      <c r="AA8" s="99" t="s">
        <v>214</v>
      </c>
      <c r="AB8" s="99" t="s">
        <v>215</v>
      </c>
      <c r="AC8" s="99" t="s">
        <v>216</v>
      </c>
      <c r="AD8" s="99" t="s">
        <v>217</v>
      </c>
      <c r="AE8" s="99" t="s">
        <v>218</v>
      </c>
      <c r="AF8" s="99" t="s">
        <v>219</v>
      </c>
      <c r="AG8" s="99" t="s">
        <v>220</v>
      </c>
      <c r="AH8" s="100" t="s">
        <v>189</v>
      </c>
      <c r="AI8" s="89" t="s">
        <v>188</v>
      </c>
      <c r="AJ8" s="89" t="s">
        <v>147</v>
      </c>
      <c r="AK8" s="89" t="s">
        <v>148</v>
      </c>
      <c r="AL8" s="167" t="s">
        <v>346</v>
      </c>
      <c r="AM8" s="89" t="s">
        <v>149</v>
      </c>
      <c r="AN8" s="89" t="s">
        <v>150</v>
      </c>
      <c r="AO8" s="221" t="s">
        <v>229</v>
      </c>
      <c r="AP8" s="80"/>
      <c r="AQ8" s="80"/>
      <c r="AR8" s="80"/>
      <c r="AS8" s="80"/>
      <c r="AT8" s="80"/>
      <c r="AU8" s="80"/>
      <c r="AV8" s="80"/>
      <c r="AW8" s="80"/>
      <c r="AX8" s="80"/>
      <c r="AY8" s="80"/>
      <c r="AZ8" s="80"/>
      <c r="BA8" s="80"/>
    </row>
    <row r="9" spans="1:53" s="75" customFormat="1" ht="30" x14ac:dyDescent="0.25">
      <c r="A9" s="126"/>
      <c r="B9" s="126"/>
      <c r="C9" s="102" t="s">
        <v>230</v>
      </c>
      <c r="D9" s="101"/>
      <c r="E9" s="541"/>
      <c r="F9" s="103" t="s">
        <v>2</v>
      </c>
      <c r="G9" s="103" t="s">
        <v>3</v>
      </c>
      <c r="H9" s="103" t="s">
        <v>4</v>
      </c>
      <c r="I9" s="103" t="s">
        <v>5</v>
      </c>
      <c r="J9" s="103" t="s">
        <v>6</v>
      </c>
      <c r="K9" s="103" t="s">
        <v>7</v>
      </c>
      <c r="L9" s="103" t="s">
        <v>8</v>
      </c>
      <c r="M9" s="103" t="s">
        <v>9</v>
      </c>
      <c r="N9" s="103" t="s">
        <v>10</v>
      </c>
      <c r="O9" s="103" t="s">
        <v>11</v>
      </c>
      <c r="P9" s="103" t="s">
        <v>12</v>
      </c>
      <c r="Q9" s="103" t="s">
        <v>13</v>
      </c>
      <c r="R9" s="103" t="s">
        <v>14</v>
      </c>
      <c r="S9" s="103" t="s">
        <v>15</v>
      </c>
      <c r="T9" s="103" t="s">
        <v>16</v>
      </c>
      <c r="U9" s="103" t="s">
        <v>17</v>
      </c>
      <c r="V9" s="103" t="s">
        <v>18</v>
      </c>
      <c r="W9" s="103" t="s">
        <v>19</v>
      </c>
      <c r="X9" s="103" t="s">
        <v>20</v>
      </c>
      <c r="Y9" s="103" t="s">
        <v>21</v>
      </c>
      <c r="Z9" s="103" t="s">
        <v>22</v>
      </c>
      <c r="AA9" s="103" t="s">
        <v>23</v>
      </c>
      <c r="AB9" s="103" t="s">
        <v>24</v>
      </c>
      <c r="AC9" s="103" t="s">
        <v>25</v>
      </c>
      <c r="AD9" s="103" t="s">
        <v>26</v>
      </c>
      <c r="AE9" s="103" t="s">
        <v>27</v>
      </c>
      <c r="AF9" s="103" t="s">
        <v>28</v>
      </c>
      <c r="AG9" s="103" t="s">
        <v>29</v>
      </c>
      <c r="AH9" s="104"/>
      <c r="AI9" s="105"/>
      <c r="AJ9" s="105"/>
      <c r="AK9" s="106"/>
      <c r="AL9" s="168"/>
      <c r="AM9" s="106"/>
      <c r="AN9" s="106"/>
      <c r="AO9" s="134"/>
      <c r="AP9" s="108"/>
      <c r="AQ9" s="108"/>
      <c r="AR9" s="108"/>
      <c r="AS9" s="108"/>
      <c r="AT9" s="108"/>
      <c r="AU9" s="108"/>
      <c r="AV9" s="108"/>
      <c r="AW9" s="108"/>
      <c r="AX9" s="108"/>
      <c r="AY9" s="108"/>
      <c r="AZ9" s="108"/>
      <c r="BA9" s="108"/>
    </row>
    <row r="10" spans="1:53" s="75" customFormat="1" x14ac:dyDescent="0.25">
      <c r="A10" s="110"/>
      <c r="B10" s="111"/>
      <c r="C10" s="112"/>
      <c r="D10" s="111"/>
      <c r="E10" s="545"/>
      <c r="F10" s="113"/>
      <c r="G10" s="113"/>
      <c r="H10" s="113"/>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6" t="e">
        <f>IF(INDEX(TARIFF_TABLE[#All], MATCH($B10,TARIFF_TABLE[[#All],[Activity]],0),MATCH("ActivityType",TARIFF_TABLE[#Headers]))="Investigation",INDEX(TARIFF_TABLE[#All], MATCH($B10,TARIFF_TABLE[[#All],[Activity]],0),MATCH("Cost",TARIFF_TABLE[#Headers],0)),INDEX(Staff_Costs[#All],MATCH('Per-Participant Activities Arm6'!D10,Staff_Costs[[#All],[Role]],0),MATCH("Per-minute cost",Staff_Costs[#Headers],0))*'Per-Participant Activities Arm6'!C10)</f>
        <v>#N/A</v>
      </c>
      <c r="AJ10" s="117" t="e">
        <f>COUNTIF($F10:$AH10, AJ$8)*$AI10</f>
        <v>#N/A</v>
      </c>
      <c r="AK10" s="117" t="e">
        <f>COUNTIF($F10:$AH10, AK$8)*$AI10</f>
        <v>#N/A</v>
      </c>
      <c r="AL10" s="117" t="e">
        <f>COUNTIF($F10:$AH10, AL$8)*$AI10</f>
        <v>#N/A</v>
      </c>
      <c r="AM10" s="117" t="e">
        <f>COUNTIF($F10:$AH10, AM$8)*$AI10</f>
        <v>#N/A</v>
      </c>
      <c r="AN10" s="117" t="e">
        <f>COUNTIF($F10:$AH10, AN$8)*$AI10</f>
        <v>#N/A</v>
      </c>
      <c r="AO10" s="220" t="e">
        <f t="shared" ref="AO10:AO41" si="0">INDEX(Tariff_Activity_Type,MATCH(B10,Tariff_Activity,0))</f>
        <v>#N/A</v>
      </c>
      <c r="AP10" s="80"/>
      <c r="AQ10" s="80"/>
      <c r="AR10" s="80"/>
      <c r="AS10" s="80"/>
      <c r="AT10" s="80"/>
      <c r="AU10" s="80"/>
      <c r="AV10" s="80"/>
      <c r="AW10" s="80"/>
      <c r="AX10" s="80"/>
      <c r="AY10" s="80"/>
      <c r="AZ10" s="80"/>
      <c r="BA10" s="80"/>
    </row>
    <row r="11" spans="1:53" s="75" customFormat="1" x14ac:dyDescent="0.25">
      <c r="A11" s="110"/>
      <c r="B11" s="111"/>
      <c r="C11" s="112"/>
      <c r="D11" s="111"/>
      <c r="E11" s="545"/>
      <c r="F11" s="113"/>
      <c r="G11" s="113"/>
      <c r="H11" s="113"/>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116" t="e">
        <f>IF(INDEX(TARIFF_TABLE[#All], MATCH($B11,TARIFF_TABLE[[#All],[Activity]],0),MATCH("ActivityType",TARIFF_TABLE[#Headers]))="Investigation",INDEX(TARIFF_TABLE[#All], MATCH($B11,TARIFF_TABLE[[#All],[Activity]],0),MATCH("Cost",TARIFF_TABLE[#Headers],0)),INDEX(Staff_Costs[#All],MATCH('Per-Participant Activities Arm6'!D11,Staff_Costs[[#All],[Role]],0),MATCH("Per-minute cost",Staff_Costs[#Headers],0))*'Per-Participant Activities Arm6'!C11)</f>
        <v>#N/A</v>
      </c>
      <c r="AJ11" s="117" t="e">
        <f t="shared" ref="AJ11:AN42" si="1">COUNTIF($F11:$AH11, AJ$8)*$AI11</f>
        <v>#N/A</v>
      </c>
      <c r="AK11" s="117" t="e">
        <f t="shared" si="1"/>
        <v>#N/A</v>
      </c>
      <c r="AL11" s="117" t="e">
        <f t="shared" si="1"/>
        <v>#N/A</v>
      </c>
      <c r="AM11" s="117" t="e">
        <f t="shared" si="1"/>
        <v>#N/A</v>
      </c>
      <c r="AN11" s="117" t="e">
        <f t="shared" si="1"/>
        <v>#N/A</v>
      </c>
      <c r="AO11" s="107" t="e">
        <f t="shared" si="0"/>
        <v>#N/A</v>
      </c>
      <c r="AP11" s="80"/>
      <c r="AQ11" s="80"/>
      <c r="AR11" s="80"/>
      <c r="AS11" s="80"/>
      <c r="AT11" s="80"/>
      <c r="AU11" s="80"/>
      <c r="AV11" s="80"/>
      <c r="AW11" s="80"/>
      <c r="AX11" s="80"/>
      <c r="AY11" s="80"/>
      <c r="AZ11" s="80"/>
      <c r="BA11" s="80"/>
    </row>
    <row r="12" spans="1:53" s="75" customFormat="1" x14ac:dyDescent="0.25">
      <c r="A12" s="110"/>
      <c r="B12" s="118"/>
      <c r="C12" s="112"/>
      <c r="D12" s="118"/>
      <c r="E12" s="545"/>
      <c r="F12" s="113"/>
      <c r="G12" s="113"/>
      <c r="H12" s="113"/>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6" t="e">
        <f>IF(INDEX(TARIFF_TABLE[#All], MATCH($B12,TARIFF_TABLE[[#All],[Activity]],0),MATCH("ActivityType",TARIFF_TABLE[#Headers]))="Investigation",INDEX(TARIFF_TABLE[#All], MATCH($B12,TARIFF_TABLE[[#All],[Activity]],0),MATCH("Cost",TARIFF_TABLE[#Headers],0)),INDEX(Staff_Costs[#All],MATCH('Per-Participant Activities Arm6'!D12,Staff_Costs[[#All],[Role]],0),MATCH("Per-minute cost",Staff_Costs[#Headers],0))*'Per-Participant Activities Arm6'!C12)</f>
        <v>#N/A</v>
      </c>
      <c r="AJ12" s="117" t="e">
        <f t="shared" si="1"/>
        <v>#N/A</v>
      </c>
      <c r="AK12" s="117" t="e">
        <f t="shared" si="1"/>
        <v>#N/A</v>
      </c>
      <c r="AL12" s="117" t="e">
        <f t="shared" si="1"/>
        <v>#N/A</v>
      </c>
      <c r="AM12" s="117" t="e">
        <f t="shared" si="1"/>
        <v>#N/A</v>
      </c>
      <c r="AN12" s="117" t="e">
        <f t="shared" si="1"/>
        <v>#N/A</v>
      </c>
      <c r="AO12" s="107" t="e">
        <f t="shared" si="0"/>
        <v>#N/A</v>
      </c>
      <c r="AP12" s="80"/>
      <c r="AQ12" s="80"/>
      <c r="AR12" s="80"/>
      <c r="AS12" s="80"/>
      <c r="AT12" s="80"/>
      <c r="AU12" s="80"/>
      <c r="AV12" s="80"/>
      <c r="AW12" s="80"/>
      <c r="AX12" s="80"/>
      <c r="AY12" s="80"/>
      <c r="AZ12" s="80"/>
      <c r="BA12" s="80"/>
    </row>
    <row r="13" spans="1:53" s="75" customFormat="1" x14ac:dyDescent="0.25">
      <c r="A13" s="110"/>
      <c r="B13" s="118"/>
      <c r="C13" s="112"/>
      <c r="D13" s="118"/>
      <c r="E13" s="545"/>
      <c r="F13" s="113"/>
      <c r="G13" s="113"/>
      <c r="H13" s="113"/>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5"/>
      <c r="AI13" s="116" t="e">
        <f>IF(INDEX(TARIFF_TABLE[#All], MATCH($B13,TARIFF_TABLE[[#All],[Activity]],0),MATCH("ActivityType",TARIFF_TABLE[#Headers]))="Investigation",INDEX(TARIFF_TABLE[#All], MATCH($B13,TARIFF_TABLE[[#All],[Activity]],0),MATCH("Cost",TARIFF_TABLE[#Headers],0)),INDEX(Staff_Costs[#All],MATCH('Per-Participant Activities Arm6'!D13,Staff_Costs[[#All],[Role]],0),MATCH("Per-minute cost",Staff_Costs[#Headers],0))*'Per-Participant Activities Arm6'!C13)</f>
        <v>#N/A</v>
      </c>
      <c r="AJ13" s="117" t="e">
        <f t="shared" si="1"/>
        <v>#N/A</v>
      </c>
      <c r="AK13" s="117" t="e">
        <f t="shared" si="1"/>
        <v>#N/A</v>
      </c>
      <c r="AL13" s="117" t="e">
        <f t="shared" si="1"/>
        <v>#N/A</v>
      </c>
      <c r="AM13" s="117" t="e">
        <f t="shared" si="1"/>
        <v>#N/A</v>
      </c>
      <c r="AN13" s="117" t="e">
        <f t="shared" si="1"/>
        <v>#N/A</v>
      </c>
      <c r="AO13" s="107" t="e">
        <f t="shared" si="0"/>
        <v>#N/A</v>
      </c>
      <c r="AP13" s="80"/>
      <c r="AQ13" s="80"/>
      <c r="AR13" s="80"/>
      <c r="AS13" s="80"/>
      <c r="AT13" s="80"/>
      <c r="AU13" s="80"/>
      <c r="AV13" s="80"/>
      <c r="AW13" s="80"/>
      <c r="AX13" s="80"/>
      <c r="AY13" s="80"/>
      <c r="AZ13" s="80"/>
      <c r="BA13" s="80"/>
    </row>
    <row r="14" spans="1:53" s="75" customFormat="1" x14ac:dyDescent="0.25">
      <c r="A14" s="110"/>
      <c r="B14" s="118"/>
      <c r="C14" s="112"/>
      <c r="D14" s="118"/>
      <c r="E14" s="545"/>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6" t="e">
        <f>IF(INDEX(TARIFF_TABLE[#All], MATCH($B14,TARIFF_TABLE[[#All],[Activity]],0),MATCH("ActivityType",TARIFF_TABLE[#Headers]))="Investigation",INDEX(TARIFF_TABLE[#All], MATCH($B14,TARIFF_TABLE[[#All],[Activity]],0),MATCH("Cost",TARIFF_TABLE[#Headers],0)),INDEX(Staff_Costs[#All],MATCH('Per-Participant Activities Arm6'!D14,Staff_Costs[[#All],[Role]],0),MATCH("Per-minute cost",Staff_Costs[#Headers],0))*'Per-Participant Activities Arm6'!C14)</f>
        <v>#N/A</v>
      </c>
      <c r="AJ14" s="117" t="e">
        <f t="shared" si="1"/>
        <v>#N/A</v>
      </c>
      <c r="AK14" s="117" t="e">
        <f t="shared" si="1"/>
        <v>#N/A</v>
      </c>
      <c r="AL14" s="117" t="e">
        <f t="shared" si="1"/>
        <v>#N/A</v>
      </c>
      <c r="AM14" s="117" t="e">
        <f t="shared" si="1"/>
        <v>#N/A</v>
      </c>
      <c r="AN14" s="117" t="e">
        <f t="shared" si="1"/>
        <v>#N/A</v>
      </c>
      <c r="AO14" s="107" t="e">
        <f t="shared" si="0"/>
        <v>#N/A</v>
      </c>
      <c r="AP14" s="80"/>
      <c r="AQ14" s="80"/>
      <c r="AR14" s="80"/>
      <c r="AS14" s="80"/>
      <c r="AT14" s="80"/>
      <c r="AU14" s="80"/>
      <c r="AV14" s="80"/>
      <c r="AW14" s="80"/>
      <c r="AX14" s="80"/>
      <c r="AY14" s="80"/>
      <c r="AZ14" s="80"/>
      <c r="BA14" s="80"/>
    </row>
    <row r="15" spans="1:53" s="75" customFormat="1" x14ac:dyDescent="0.25">
      <c r="A15" s="110"/>
      <c r="B15" s="118"/>
      <c r="C15" s="112"/>
      <c r="D15" s="118"/>
      <c r="E15" s="545"/>
      <c r="F15" s="113"/>
      <c r="G15" s="113"/>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c r="AI15" s="116" t="e">
        <f>IF(INDEX(TARIFF_TABLE[#All], MATCH($B15,TARIFF_TABLE[[#All],[Activity]],0),MATCH("ActivityType",TARIFF_TABLE[#Headers]))="Investigation",INDEX(TARIFF_TABLE[#All], MATCH($B15,TARIFF_TABLE[[#All],[Activity]],0),MATCH("Cost",TARIFF_TABLE[#Headers],0)),INDEX(Staff_Costs[#All],MATCH('Per-Participant Activities Arm6'!D15,Staff_Costs[[#All],[Role]],0),MATCH("Per-minute cost",Staff_Costs[#Headers],0))*'Per-Participant Activities Arm6'!C15)</f>
        <v>#N/A</v>
      </c>
      <c r="AJ15" s="117" t="e">
        <f t="shared" si="1"/>
        <v>#N/A</v>
      </c>
      <c r="AK15" s="117" t="e">
        <f t="shared" si="1"/>
        <v>#N/A</v>
      </c>
      <c r="AL15" s="117" t="e">
        <f t="shared" si="1"/>
        <v>#N/A</v>
      </c>
      <c r="AM15" s="117" t="e">
        <f t="shared" si="1"/>
        <v>#N/A</v>
      </c>
      <c r="AN15" s="117" t="e">
        <f t="shared" si="1"/>
        <v>#N/A</v>
      </c>
      <c r="AO15" s="107" t="e">
        <f t="shared" si="0"/>
        <v>#N/A</v>
      </c>
      <c r="AP15" s="80"/>
      <c r="AQ15" s="80"/>
      <c r="AR15" s="80"/>
      <c r="AS15" s="80"/>
      <c r="AT15" s="80"/>
      <c r="AU15" s="80"/>
      <c r="AV15" s="80"/>
      <c r="AW15" s="80"/>
      <c r="AX15" s="80"/>
      <c r="AY15" s="80"/>
      <c r="AZ15" s="80"/>
      <c r="BA15" s="80"/>
    </row>
    <row r="16" spans="1:53" s="75" customFormat="1" x14ac:dyDescent="0.25">
      <c r="A16" s="110"/>
      <c r="B16" s="118"/>
      <c r="C16" s="112"/>
      <c r="D16" s="118"/>
      <c r="E16" s="545"/>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I16" s="116" t="e">
        <f>IF(INDEX(TARIFF_TABLE[#All], MATCH($B16,TARIFF_TABLE[[#All],[Activity]],0),MATCH("ActivityType",TARIFF_TABLE[#Headers]))="Investigation",INDEX(TARIFF_TABLE[#All], MATCH($B16,TARIFF_TABLE[[#All],[Activity]],0),MATCH("Cost",TARIFF_TABLE[#Headers],0)),INDEX(Staff_Costs[#All],MATCH('Per-Participant Activities Arm6'!D16,Staff_Costs[[#All],[Role]],0),MATCH("Per-minute cost",Staff_Costs[#Headers],0))*'Per-Participant Activities Arm6'!C16)</f>
        <v>#N/A</v>
      </c>
      <c r="AJ16" s="117" t="e">
        <f t="shared" si="1"/>
        <v>#N/A</v>
      </c>
      <c r="AK16" s="117" t="e">
        <f t="shared" si="1"/>
        <v>#N/A</v>
      </c>
      <c r="AL16" s="117" t="e">
        <f t="shared" si="1"/>
        <v>#N/A</v>
      </c>
      <c r="AM16" s="117" t="e">
        <f t="shared" si="1"/>
        <v>#N/A</v>
      </c>
      <c r="AN16" s="117" t="e">
        <f t="shared" si="1"/>
        <v>#N/A</v>
      </c>
      <c r="AO16" s="107" t="e">
        <f t="shared" si="0"/>
        <v>#N/A</v>
      </c>
      <c r="AP16" s="80"/>
      <c r="AQ16" s="80"/>
      <c r="AR16" s="80"/>
      <c r="AS16" s="80"/>
      <c r="AT16" s="80"/>
      <c r="AU16" s="80"/>
      <c r="AV16" s="80"/>
      <c r="AW16" s="80"/>
      <c r="AX16" s="80"/>
      <c r="AY16" s="80"/>
      <c r="AZ16" s="80"/>
      <c r="BA16" s="80"/>
    </row>
    <row r="17" spans="1:53" s="75" customFormat="1" x14ac:dyDescent="0.25">
      <c r="A17" s="110"/>
      <c r="B17" s="118"/>
      <c r="C17" s="112"/>
      <c r="D17" s="118"/>
      <c r="E17" s="545"/>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c r="AI17" s="116" t="e">
        <f>IF(INDEX(TARIFF_TABLE[#All], MATCH($B17,TARIFF_TABLE[[#All],[Activity]],0),MATCH("ActivityType",TARIFF_TABLE[#Headers]))="Investigation",INDEX(TARIFF_TABLE[#All], MATCH($B17,TARIFF_TABLE[[#All],[Activity]],0),MATCH("Cost",TARIFF_TABLE[#Headers],0)),INDEX(Staff_Costs[#All],MATCH('Per-Participant Activities Arm6'!D17,Staff_Costs[[#All],[Role]],0),MATCH("Per-minute cost",Staff_Costs[#Headers],0))*'Per-Participant Activities Arm6'!C17)</f>
        <v>#N/A</v>
      </c>
      <c r="AJ17" s="117" t="e">
        <f t="shared" si="1"/>
        <v>#N/A</v>
      </c>
      <c r="AK17" s="117" t="e">
        <f t="shared" si="1"/>
        <v>#N/A</v>
      </c>
      <c r="AL17" s="117" t="e">
        <f t="shared" si="1"/>
        <v>#N/A</v>
      </c>
      <c r="AM17" s="117" t="e">
        <f t="shared" si="1"/>
        <v>#N/A</v>
      </c>
      <c r="AN17" s="117" t="e">
        <f t="shared" si="1"/>
        <v>#N/A</v>
      </c>
      <c r="AO17" s="107" t="e">
        <f t="shared" si="0"/>
        <v>#N/A</v>
      </c>
      <c r="AP17" s="80"/>
      <c r="AQ17" s="80"/>
      <c r="AR17" s="80"/>
      <c r="AS17" s="80"/>
      <c r="AT17" s="80"/>
      <c r="AU17" s="80"/>
      <c r="AV17" s="80"/>
      <c r="AW17" s="80"/>
      <c r="AX17" s="80"/>
      <c r="AY17" s="80"/>
      <c r="AZ17" s="80"/>
      <c r="BA17" s="80"/>
    </row>
    <row r="18" spans="1:53" s="75" customFormat="1" x14ac:dyDescent="0.25">
      <c r="A18" s="110"/>
      <c r="B18" s="118"/>
      <c r="C18" s="112"/>
      <c r="D18" s="118"/>
      <c r="E18" s="545"/>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c r="AI18" s="116" t="e">
        <f>IF(INDEX(TARIFF_TABLE[#All], MATCH($B18,TARIFF_TABLE[[#All],[Activity]],0),MATCH("ActivityType",TARIFF_TABLE[#Headers]))="Investigation",INDEX(TARIFF_TABLE[#All], MATCH($B18,TARIFF_TABLE[[#All],[Activity]],0),MATCH("Cost",TARIFF_TABLE[#Headers],0)),INDEX(Staff_Costs[#All],MATCH('Per-Participant Activities Arm6'!D18,Staff_Costs[[#All],[Role]],0),MATCH("Per-minute cost",Staff_Costs[#Headers],0))*'Per-Participant Activities Arm6'!C18)</f>
        <v>#N/A</v>
      </c>
      <c r="AJ18" s="117" t="e">
        <f t="shared" si="1"/>
        <v>#N/A</v>
      </c>
      <c r="AK18" s="117" t="e">
        <f t="shared" si="1"/>
        <v>#N/A</v>
      </c>
      <c r="AL18" s="117" t="e">
        <f t="shared" si="1"/>
        <v>#N/A</v>
      </c>
      <c r="AM18" s="117" t="e">
        <f t="shared" si="1"/>
        <v>#N/A</v>
      </c>
      <c r="AN18" s="117" t="e">
        <f t="shared" si="1"/>
        <v>#N/A</v>
      </c>
      <c r="AO18" s="107" t="e">
        <f t="shared" si="0"/>
        <v>#N/A</v>
      </c>
      <c r="AP18" s="80"/>
      <c r="AQ18" s="80"/>
      <c r="AR18" s="80"/>
      <c r="AS18" s="80"/>
      <c r="AT18" s="80"/>
      <c r="AU18" s="80"/>
      <c r="AV18" s="80"/>
      <c r="AW18" s="80"/>
      <c r="AX18" s="80"/>
      <c r="AY18" s="80"/>
      <c r="AZ18" s="80"/>
      <c r="BA18" s="80"/>
    </row>
    <row r="19" spans="1:53" s="75" customFormat="1" x14ac:dyDescent="0.25">
      <c r="A19" s="110"/>
      <c r="B19" s="111"/>
      <c r="C19" s="112"/>
      <c r="D19" s="111"/>
      <c r="E19" s="54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16" t="e">
        <f>IF(INDEX(TARIFF_TABLE[#All], MATCH($B19,TARIFF_TABLE[[#All],[Activity]],0),MATCH("ActivityType",TARIFF_TABLE[#Headers]))="Investigation",INDEX(TARIFF_TABLE[#All], MATCH($B19,TARIFF_TABLE[[#All],[Activity]],0),MATCH("Cost",TARIFF_TABLE[#Headers],0)),INDEX(Staff_Costs[#All],MATCH('Per-Participant Activities Arm6'!D19,Staff_Costs[[#All],[Role]],0),MATCH("Per-minute cost",Staff_Costs[#Headers],0))*'Per-Participant Activities Arm6'!C19)</f>
        <v>#N/A</v>
      </c>
      <c r="AJ19" s="117" t="e">
        <f t="shared" si="1"/>
        <v>#N/A</v>
      </c>
      <c r="AK19" s="117" t="e">
        <f t="shared" si="1"/>
        <v>#N/A</v>
      </c>
      <c r="AL19" s="117" t="e">
        <f t="shared" si="1"/>
        <v>#N/A</v>
      </c>
      <c r="AM19" s="117" t="e">
        <f t="shared" si="1"/>
        <v>#N/A</v>
      </c>
      <c r="AN19" s="117" t="e">
        <f t="shared" si="1"/>
        <v>#N/A</v>
      </c>
      <c r="AO19" s="107" t="e">
        <f t="shared" si="0"/>
        <v>#N/A</v>
      </c>
      <c r="AP19" s="80"/>
      <c r="AQ19" s="80"/>
      <c r="AR19" s="80"/>
      <c r="AS19" s="80"/>
      <c r="AT19" s="80"/>
      <c r="AU19" s="80"/>
      <c r="AV19" s="80"/>
      <c r="AW19" s="80"/>
      <c r="AX19" s="80"/>
      <c r="AY19" s="80"/>
      <c r="AZ19" s="80"/>
      <c r="BA19" s="80"/>
    </row>
    <row r="20" spans="1:53" s="75" customFormat="1" x14ac:dyDescent="0.25">
      <c r="A20" s="110"/>
      <c r="B20" s="111"/>
      <c r="C20" s="112"/>
      <c r="D20" s="111"/>
      <c r="E20" s="545"/>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c r="AI20" s="116" t="e">
        <f>IF(INDEX(TARIFF_TABLE[#All], MATCH($B20,TARIFF_TABLE[[#All],[Activity]],0),MATCH("ActivityType",TARIFF_TABLE[#Headers]))="Investigation",INDEX(TARIFF_TABLE[#All], MATCH($B20,TARIFF_TABLE[[#All],[Activity]],0),MATCH("Cost",TARIFF_TABLE[#Headers],0)),INDEX(Staff_Costs[#All],MATCH('Per-Participant Activities Arm6'!D20,Staff_Costs[[#All],[Role]],0),MATCH("Per-minute cost",Staff_Costs[#Headers],0))*'Per-Participant Activities Arm6'!C20)</f>
        <v>#N/A</v>
      </c>
      <c r="AJ20" s="117" t="e">
        <f t="shared" si="1"/>
        <v>#N/A</v>
      </c>
      <c r="AK20" s="117" t="e">
        <f t="shared" si="1"/>
        <v>#N/A</v>
      </c>
      <c r="AL20" s="117" t="e">
        <f t="shared" si="1"/>
        <v>#N/A</v>
      </c>
      <c r="AM20" s="117" t="e">
        <f t="shared" si="1"/>
        <v>#N/A</v>
      </c>
      <c r="AN20" s="117" t="e">
        <f t="shared" si="1"/>
        <v>#N/A</v>
      </c>
      <c r="AO20" s="107" t="e">
        <f t="shared" si="0"/>
        <v>#N/A</v>
      </c>
      <c r="AP20" s="80"/>
      <c r="AQ20" s="80"/>
      <c r="AR20" s="80"/>
      <c r="AS20" s="80"/>
      <c r="AT20" s="80"/>
      <c r="AU20" s="80"/>
      <c r="AV20" s="80"/>
      <c r="AW20" s="80"/>
      <c r="AX20" s="80"/>
      <c r="AY20" s="80"/>
      <c r="AZ20" s="80"/>
      <c r="BA20" s="80"/>
    </row>
    <row r="21" spans="1:53" s="75" customFormat="1" x14ac:dyDescent="0.25">
      <c r="A21" s="110"/>
      <c r="B21" s="111"/>
      <c r="C21" s="112"/>
      <c r="D21" s="111"/>
      <c r="E21" s="545"/>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5"/>
      <c r="AI21" s="116" t="e">
        <f>IF(INDEX(TARIFF_TABLE[#All], MATCH($B21,TARIFF_TABLE[[#All],[Activity]],0),MATCH("ActivityType",TARIFF_TABLE[#Headers]))="Investigation",INDEX(TARIFF_TABLE[#All], MATCH($B21,TARIFF_TABLE[[#All],[Activity]],0),MATCH("Cost",TARIFF_TABLE[#Headers],0)),INDEX(Staff_Costs[#All],MATCH('Per-Participant Activities Arm6'!D21,Staff_Costs[[#All],[Role]],0),MATCH("Per-minute cost",Staff_Costs[#Headers],0))*'Per-Participant Activities Arm6'!C21)</f>
        <v>#N/A</v>
      </c>
      <c r="AJ21" s="117" t="e">
        <f t="shared" si="1"/>
        <v>#N/A</v>
      </c>
      <c r="AK21" s="117" t="e">
        <f t="shared" si="1"/>
        <v>#N/A</v>
      </c>
      <c r="AL21" s="117" t="e">
        <f t="shared" si="1"/>
        <v>#N/A</v>
      </c>
      <c r="AM21" s="117" t="e">
        <f t="shared" si="1"/>
        <v>#N/A</v>
      </c>
      <c r="AN21" s="117" t="e">
        <f t="shared" si="1"/>
        <v>#N/A</v>
      </c>
      <c r="AO21" s="107" t="e">
        <f t="shared" si="0"/>
        <v>#N/A</v>
      </c>
      <c r="AP21" s="80"/>
      <c r="AQ21" s="80"/>
      <c r="AR21" s="80"/>
      <c r="AS21" s="80"/>
      <c r="AT21" s="80"/>
      <c r="AU21" s="80"/>
      <c r="AV21" s="80"/>
      <c r="AW21" s="80"/>
      <c r="AX21" s="80"/>
      <c r="AY21" s="80"/>
      <c r="AZ21" s="80"/>
      <c r="BA21" s="80"/>
    </row>
    <row r="22" spans="1:53" s="75" customFormat="1" x14ac:dyDescent="0.25">
      <c r="A22" s="110"/>
      <c r="B22" s="111"/>
      <c r="C22" s="112"/>
      <c r="D22" s="111"/>
      <c r="E22" s="545"/>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c r="AI22" s="116" t="e">
        <f>IF(INDEX(TARIFF_TABLE[#All], MATCH($B22,TARIFF_TABLE[[#All],[Activity]],0),MATCH("ActivityType",TARIFF_TABLE[#Headers]))="Investigation",INDEX(TARIFF_TABLE[#All], MATCH($B22,TARIFF_TABLE[[#All],[Activity]],0),MATCH("Cost",TARIFF_TABLE[#Headers],0)),INDEX(Staff_Costs[#All],MATCH('Per-Participant Activities Arm6'!D22,Staff_Costs[[#All],[Role]],0),MATCH("Per-minute cost",Staff_Costs[#Headers],0))*'Per-Participant Activities Arm6'!C22)</f>
        <v>#N/A</v>
      </c>
      <c r="AJ22" s="117" t="e">
        <f t="shared" si="1"/>
        <v>#N/A</v>
      </c>
      <c r="AK22" s="117" t="e">
        <f t="shared" si="1"/>
        <v>#N/A</v>
      </c>
      <c r="AL22" s="117" t="e">
        <f t="shared" si="1"/>
        <v>#N/A</v>
      </c>
      <c r="AM22" s="117" t="e">
        <f t="shared" si="1"/>
        <v>#N/A</v>
      </c>
      <c r="AN22" s="117" t="e">
        <f t="shared" si="1"/>
        <v>#N/A</v>
      </c>
      <c r="AO22" s="107" t="e">
        <f t="shared" si="0"/>
        <v>#N/A</v>
      </c>
      <c r="AP22" s="80"/>
      <c r="AQ22" s="80"/>
      <c r="AR22" s="80"/>
      <c r="AS22" s="80"/>
      <c r="AT22" s="80"/>
      <c r="AU22" s="80"/>
      <c r="AV22" s="80"/>
      <c r="AW22" s="80"/>
      <c r="AX22" s="80"/>
      <c r="AY22" s="80"/>
      <c r="AZ22" s="80"/>
      <c r="BA22" s="80"/>
    </row>
    <row r="23" spans="1:53" s="75" customFormat="1" x14ac:dyDescent="0.25">
      <c r="A23" s="110"/>
      <c r="B23" s="111"/>
      <c r="C23" s="112"/>
      <c r="D23" s="111"/>
      <c r="E23" s="545"/>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116" t="e">
        <f>IF(INDEX(TARIFF_TABLE[#All], MATCH($B23,TARIFF_TABLE[[#All],[Activity]],0),MATCH("ActivityType",TARIFF_TABLE[#Headers]))="Investigation",INDEX(TARIFF_TABLE[#All], MATCH($B23,TARIFF_TABLE[[#All],[Activity]],0),MATCH("Cost",TARIFF_TABLE[#Headers],0)),INDEX(Staff_Costs[#All],MATCH('Per-Participant Activities Arm6'!D23,Staff_Costs[[#All],[Role]],0),MATCH("Per-minute cost",Staff_Costs[#Headers],0))*'Per-Participant Activities Arm6'!C23)</f>
        <v>#N/A</v>
      </c>
      <c r="AJ23" s="117" t="e">
        <f t="shared" si="1"/>
        <v>#N/A</v>
      </c>
      <c r="AK23" s="117" t="e">
        <f t="shared" si="1"/>
        <v>#N/A</v>
      </c>
      <c r="AL23" s="117" t="e">
        <f t="shared" si="1"/>
        <v>#N/A</v>
      </c>
      <c r="AM23" s="117" t="e">
        <f t="shared" si="1"/>
        <v>#N/A</v>
      </c>
      <c r="AN23" s="117" t="e">
        <f t="shared" si="1"/>
        <v>#N/A</v>
      </c>
      <c r="AO23" s="107" t="e">
        <f t="shared" si="0"/>
        <v>#N/A</v>
      </c>
      <c r="AP23" s="80"/>
      <c r="AQ23" s="80"/>
      <c r="AR23" s="80"/>
      <c r="AS23" s="80"/>
      <c r="AT23" s="80"/>
      <c r="AU23" s="80"/>
      <c r="AV23" s="80"/>
      <c r="AW23" s="80"/>
      <c r="AX23" s="80"/>
      <c r="AY23" s="80"/>
      <c r="AZ23" s="80"/>
      <c r="BA23" s="80"/>
    </row>
    <row r="24" spans="1:53" s="75" customFormat="1" x14ac:dyDescent="0.25">
      <c r="A24" s="110"/>
      <c r="B24" s="111"/>
      <c r="C24" s="112"/>
      <c r="D24" s="111"/>
      <c r="E24" s="545"/>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c r="AI24" s="116" t="e">
        <f>IF(INDEX(TARIFF_TABLE[#All], MATCH($B24,TARIFF_TABLE[[#All],[Activity]],0),MATCH("ActivityType",TARIFF_TABLE[#Headers]))="Investigation",INDEX(TARIFF_TABLE[#All], MATCH($B24,TARIFF_TABLE[[#All],[Activity]],0),MATCH("Cost",TARIFF_TABLE[#Headers],0)),INDEX(Staff_Costs[#All],MATCH('Per-Participant Activities Arm6'!D24,Staff_Costs[[#All],[Role]],0),MATCH("Per-minute cost",Staff_Costs[#Headers],0))*'Per-Participant Activities Arm6'!C24)</f>
        <v>#N/A</v>
      </c>
      <c r="AJ24" s="117" t="e">
        <f t="shared" si="1"/>
        <v>#N/A</v>
      </c>
      <c r="AK24" s="117" t="e">
        <f t="shared" si="1"/>
        <v>#N/A</v>
      </c>
      <c r="AL24" s="117" t="e">
        <f t="shared" si="1"/>
        <v>#N/A</v>
      </c>
      <c r="AM24" s="117" t="e">
        <f t="shared" si="1"/>
        <v>#N/A</v>
      </c>
      <c r="AN24" s="117" t="e">
        <f t="shared" si="1"/>
        <v>#N/A</v>
      </c>
      <c r="AO24" s="107" t="e">
        <f t="shared" si="0"/>
        <v>#N/A</v>
      </c>
      <c r="AP24" s="80"/>
      <c r="AQ24" s="80"/>
      <c r="AR24" s="80"/>
      <c r="AS24" s="80"/>
      <c r="AT24" s="80"/>
      <c r="AU24" s="80"/>
      <c r="AV24" s="80"/>
      <c r="AW24" s="80"/>
      <c r="AX24" s="80"/>
      <c r="AY24" s="80"/>
      <c r="AZ24" s="80"/>
      <c r="BA24" s="80"/>
    </row>
    <row r="25" spans="1:53" s="75" customFormat="1" x14ac:dyDescent="0.25">
      <c r="A25" s="110"/>
      <c r="B25" s="111"/>
      <c r="C25" s="112"/>
      <c r="D25" s="111"/>
      <c r="E25" s="545"/>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5"/>
      <c r="AI25" s="116" t="e">
        <f>IF(INDEX(TARIFF_TABLE[#All], MATCH($B25,TARIFF_TABLE[[#All],[Activity]],0),MATCH("ActivityType",TARIFF_TABLE[#Headers]))="Investigation",INDEX(TARIFF_TABLE[#All], MATCH($B25,TARIFF_TABLE[[#All],[Activity]],0),MATCH("Cost",TARIFF_TABLE[#Headers],0)),INDEX(Staff_Costs[#All],MATCH('Per-Participant Activities Arm6'!D25,Staff_Costs[[#All],[Role]],0),MATCH("Per-minute cost",Staff_Costs[#Headers],0))*'Per-Participant Activities Arm6'!C25)</f>
        <v>#N/A</v>
      </c>
      <c r="AJ25" s="117" t="e">
        <f t="shared" si="1"/>
        <v>#N/A</v>
      </c>
      <c r="AK25" s="117" t="e">
        <f t="shared" si="1"/>
        <v>#N/A</v>
      </c>
      <c r="AL25" s="117" t="e">
        <f t="shared" si="1"/>
        <v>#N/A</v>
      </c>
      <c r="AM25" s="117" t="e">
        <f t="shared" si="1"/>
        <v>#N/A</v>
      </c>
      <c r="AN25" s="117" t="e">
        <f t="shared" si="1"/>
        <v>#N/A</v>
      </c>
      <c r="AO25" s="107" t="e">
        <f t="shared" si="0"/>
        <v>#N/A</v>
      </c>
      <c r="AP25" s="80"/>
      <c r="AQ25" s="80"/>
      <c r="AR25" s="80"/>
      <c r="AS25" s="80"/>
      <c r="AT25" s="80"/>
      <c r="AU25" s="80"/>
      <c r="AV25" s="80"/>
      <c r="AW25" s="80"/>
      <c r="AX25" s="80"/>
      <c r="AY25" s="80"/>
      <c r="AZ25" s="80"/>
      <c r="BA25" s="80"/>
    </row>
    <row r="26" spans="1:53" s="75" customFormat="1" x14ac:dyDescent="0.25">
      <c r="A26" s="110"/>
      <c r="B26" s="111"/>
      <c r="C26" s="112"/>
      <c r="D26" s="111"/>
      <c r="E26" s="545"/>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5"/>
      <c r="AI26" s="116" t="e">
        <f>IF(INDEX(TARIFF_TABLE[#All], MATCH($B26,TARIFF_TABLE[[#All],[Activity]],0),MATCH("ActivityType",TARIFF_TABLE[#Headers]))="Investigation",INDEX(TARIFF_TABLE[#All], MATCH($B26,TARIFF_TABLE[[#All],[Activity]],0),MATCH("Cost",TARIFF_TABLE[#Headers],0)),INDEX(Staff_Costs[#All],MATCH('Per-Participant Activities Arm6'!D26,Staff_Costs[[#All],[Role]],0),MATCH("Per-minute cost",Staff_Costs[#Headers],0))*'Per-Participant Activities Arm6'!C26)</f>
        <v>#N/A</v>
      </c>
      <c r="AJ26" s="117" t="e">
        <f t="shared" si="1"/>
        <v>#N/A</v>
      </c>
      <c r="AK26" s="117" t="e">
        <f t="shared" si="1"/>
        <v>#N/A</v>
      </c>
      <c r="AL26" s="117" t="e">
        <f t="shared" si="1"/>
        <v>#N/A</v>
      </c>
      <c r="AM26" s="117" t="e">
        <f t="shared" si="1"/>
        <v>#N/A</v>
      </c>
      <c r="AN26" s="117" t="e">
        <f t="shared" si="1"/>
        <v>#N/A</v>
      </c>
      <c r="AO26" s="107" t="e">
        <f t="shared" si="0"/>
        <v>#N/A</v>
      </c>
      <c r="AP26" s="80"/>
      <c r="AQ26" s="80"/>
      <c r="AR26" s="80"/>
      <c r="AS26" s="80"/>
      <c r="AT26" s="80"/>
      <c r="AU26" s="80"/>
      <c r="AV26" s="80"/>
      <c r="AW26" s="80"/>
      <c r="AX26" s="80"/>
      <c r="AY26" s="80"/>
      <c r="AZ26" s="80"/>
      <c r="BA26" s="80"/>
    </row>
    <row r="27" spans="1:53" s="75" customFormat="1" x14ac:dyDescent="0.25">
      <c r="A27" s="110"/>
      <c r="B27" s="111"/>
      <c r="C27" s="112"/>
      <c r="D27" s="111"/>
      <c r="E27" s="545"/>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16" t="e">
        <f>IF(INDEX(TARIFF_TABLE[#All], MATCH($B27,TARIFF_TABLE[[#All],[Activity]],0),MATCH("ActivityType",TARIFF_TABLE[#Headers]))="Investigation",INDEX(TARIFF_TABLE[#All], MATCH($B27,TARIFF_TABLE[[#All],[Activity]],0),MATCH("Cost",TARIFF_TABLE[#Headers],0)),INDEX(Staff_Costs[#All],MATCH('Per-Participant Activities Arm6'!D27,Staff_Costs[[#All],[Role]],0),MATCH("Per-minute cost",Staff_Costs[#Headers],0))*'Per-Participant Activities Arm6'!C27)</f>
        <v>#N/A</v>
      </c>
      <c r="AJ27" s="117" t="e">
        <f t="shared" si="1"/>
        <v>#N/A</v>
      </c>
      <c r="AK27" s="117" t="e">
        <f t="shared" si="1"/>
        <v>#N/A</v>
      </c>
      <c r="AL27" s="117" t="e">
        <f t="shared" si="1"/>
        <v>#N/A</v>
      </c>
      <c r="AM27" s="117" t="e">
        <f t="shared" si="1"/>
        <v>#N/A</v>
      </c>
      <c r="AN27" s="117" t="e">
        <f t="shared" si="1"/>
        <v>#N/A</v>
      </c>
      <c r="AO27" s="107" t="e">
        <f t="shared" si="0"/>
        <v>#N/A</v>
      </c>
      <c r="AP27" s="80"/>
      <c r="AQ27" s="80"/>
      <c r="AR27" s="80"/>
      <c r="AS27" s="80"/>
      <c r="AT27" s="80"/>
      <c r="AU27" s="80"/>
      <c r="AV27" s="80"/>
      <c r="AW27" s="80"/>
      <c r="AX27" s="80"/>
      <c r="AY27" s="80"/>
      <c r="AZ27" s="80"/>
      <c r="BA27" s="80"/>
    </row>
    <row r="28" spans="1:53" s="75" customFormat="1" x14ac:dyDescent="0.25">
      <c r="A28" s="110"/>
      <c r="B28" s="111"/>
      <c r="C28" s="112"/>
      <c r="D28" s="111"/>
      <c r="E28" s="545"/>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5"/>
      <c r="AI28" s="116" t="e">
        <f>IF(INDEX(TARIFF_TABLE[#All], MATCH($B28,TARIFF_TABLE[[#All],[Activity]],0),MATCH("ActivityType",TARIFF_TABLE[#Headers]))="Investigation",INDEX(TARIFF_TABLE[#All], MATCH($B28,TARIFF_TABLE[[#All],[Activity]],0),MATCH("Cost",TARIFF_TABLE[#Headers],0)),INDEX(Staff_Costs[#All],MATCH('Per-Participant Activities Arm6'!D28,Staff_Costs[[#All],[Role]],0),MATCH("Per-minute cost",Staff_Costs[#Headers],0))*'Per-Participant Activities Arm6'!C28)</f>
        <v>#N/A</v>
      </c>
      <c r="AJ28" s="117" t="e">
        <f t="shared" si="1"/>
        <v>#N/A</v>
      </c>
      <c r="AK28" s="117" t="e">
        <f t="shared" si="1"/>
        <v>#N/A</v>
      </c>
      <c r="AL28" s="117" t="e">
        <f t="shared" si="1"/>
        <v>#N/A</v>
      </c>
      <c r="AM28" s="117" t="e">
        <f t="shared" si="1"/>
        <v>#N/A</v>
      </c>
      <c r="AN28" s="117" t="e">
        <f t="shared" si="1"/>
        <v>#N/A</v>
      </c>
      <c r="AO28" s="107" t="e">
        <f t="shared" si="0"/>
        <v>#N/A</v>
      </c>
      <c r="AP28" s="80"/>
      <c r="AQ28" s="80"/>
      <c r="AR28" s="80"/>
      <c r="AS28" s="80"/>
      <c r="AT28" s="80"/>
      <c r="AU28" s="80"/>
      <c r="AV28" s="80"/>
      <c r="AW28" s="80"/>
      <c r="AX28" s="80"/>
      <c r="AY28" s="80"/>
      <c r="AZ28" s="80"/>
      <c r="BA28" s="80"/>
    </row>
    <row r="29" spans="1:53" s="75" customFormat="1" x14ac:dyDescent="0.25">
      <c r="A29" s="110"/>
      <c r="B29" s="111"/>
      <c r="C29" s="112"/>
      <c r="D29" s="111"/>
      <c r="E29" s="545"/>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5"/>
      <c r="AI29" s="116" t="e">
        <f>IF(INDEX(TARIFF_TABLE[#All], MATCH($B29,TARIFF_TABLE[[#All],[Activity]],0),MATCH("ActivityType",TARIFF_TABLE[#Headers]))="Investigation",INDEX(TARIFF_TABLE[#All], MATCH($B29,TARIFF_TABLE[[#All],[Activity]],0),MATCH("Cost",TARIFF_TABLE[#Headers],0)),INDEX(Staff_Costs[#All],MATCH('Per-Participant Activities Arm6'!D29,Staff_Costs[[#All],[Role]],0),MATCH("Per-minute cost",Staff_Costs[#Headers],0))*'Per-Participant Activities Arm6'!C29)</f>
        <v>#N/A</v>
      </c>
      <c r="AJ29" s="117" t="e">
        <f t="shared" si="1"/>
        <v>#N/A</v>
      </c>
      <c r="AK29" s="117" t="e">
        <f t="shared" si="1"/>
        <v>#N/A</v>
      </c>
      <c r="AL29" s="117" t="e">
        <f t="shared" si="1"/>
        <v>#N/A</v>
      </c>
      <c r="AM29" s="117" t="e">
        <f t="shared" si="1"/>
        <v>#N/A</v>
      </c>
      <c r="AN29" s="117" t="e">
        <f t="shared" si="1"/>
        <v>#N/A</v>
      </c>
      <c r="AO29" s="107" t="e">
        <f t="shared" si="0"/>
        <v>#N/A</v>
      </c>
      <c r="AP29" s="80"/>
      <c r="AQ29" s="80"/>
      <c r="AR29" s="80"/>
      <c r="AS29" s="80"/>
      <c r="AT29" s="80"/>
      <c r="AU29" s="80"/>
      <c r="AV29" s="80"/>
      <c r="AW29" s="80"/>
      <c r="AX29" s="80"/>
      <c r="AY29" s="80"/>
      <c r="AZ29" s="80"/>
      <c r="BA29" s="80"/>
    </row>
    <row r="30" spans="1:53" s="75" customFormat="1" x14ac:dyDescent="0.25">
      <c r="A30" s="110"/>
      <c r="B30" s="111"/>
      <c r="C30" s="112"/>
      <c r="D30" s="111"/>
      <c r="E30" s="545"/>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5"/>
      <c r="AI30" s="116" t="e">
        <f>IF(INDEX(TARIFF_TABLE[#All], MATCH($B30,TARIFF_TABLE[[#All],[Activity]],0),MATCH("ActivityType",TARIFF_TABLE[#Headers]))="Investigation",INDEX(TARIFF_TABLE[#All], MATCH($B30,TARIFF_TABLE[[#All],[Activity]],0),MATCH("Cost",TARIFF_TABLE[#Headers],0)),INDEX(Staff_Costs[#All],MATCH('Per-Participant Activities Arm6'!D30,Staff_Costs[[#All],[Role]],0),MATCH("Per-minute cost",Staff_Costs[#Headers],0))*'Per-Participant Activities Arm6'!C30)</f>
        <v>#N/A</v>
      </c>
      <c r="AJ30" s="117" t="e">
        <f t="shared" si="1"/>
        <v>#N/A</v>
      </c>
      <c r="AK30" s="117" t="e">
        <f t="shared" si="1"/>
        <v>#N/A</v>
      </c>
      <c r="AL30" s="117" t="e">
        <f t="shared" si="1"/>
        <v>#N/A</v>
      </c>
      <c r="AM30" s="117" t="e">
        <f t="shared" si="1"/>
        <v>#N/A</v>
      </c>
      <c r="AN30" s="117" t="e">
        <f t="shared" si="1"/>
        <v>#N/A</v>
      </c>
      <c r="AO30" s="107" t="e">
        <f t="shared" si="0"/>
        <v>#N/A</v>
      </c>
      <c r="AP30" s="80"/>
      <c r="AQ30" s="80"/>
      <c r="AR30" s="80"/>
      <c r="AS30" s="80"/>
      <c r="AT30" s="80"/>
      <c r="AU30" s="80"/>
      <c r="AV30" s="80"/>
      <c r="AW30" s="80"/>
      <c r="AX30" s="80"/>
      <c r="AY30" s="80"/>
      <c r="AZ30" s="80"/>
      <c r="BA30" s="80"/>
    </row>
    <row r="31" spans="1:53" s="75" customFormat="1" x14ac:dyDescent="0.25">
      <c r="A31" s="110"/>
      <c r="B31" s="111"/>
      <c r="C31" s="112"/>
      <c r="D31" s="111"/>
      <c r="E31" s="545"/>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16" t="e">
        <f>IF(INDEX(TARIFF_TABLE[#All], MATCH($B31,TARIFF_TABLE[[#All],[Activity]],0),MATCH("ActivityType",TARIFF_TABLE[#Headers]))="Investigation",INDEX(TARIFF_TABLE[#All], MATCH($B31,TARIFF_TABLE[[#All],[Activity]],0),MATCH("Cost",TARIFF_TABLE[#Headers],0)),INDEX(Staff_Costs[#All],MATCH('Per-Participant Activities Arm6'!D31,Staff_Costs[[#All],[Role]],0),MATCH("Per-minute cost",Staff_Costs[#Headers],0))*'Per-Participant Activities Arm6'!C31)</f>
        <v>#N/A</v>
      </c>
      <c r="AJ31" s="117" t="e">
        <f t="shared" si="1"/>
        <v>#N/A</v>
      </c>
      <c r="AK31" s="117" t="e">
        <f t="shared" si="1"/>
        <v>#N/A</v>
      </c>
      <c r="AL31" s="117" t="e">
        <f t="shared" si="1"/>
        <v>#N/A</v>
      </c>
      <c r="AM31" s="117" t="e">
        <f t="shared" si="1"/>
        <v>#N/A</v>
      </c>
      <c r="AN31" s="117" t="e">
        <f t="shared" si="1"/>
        <v>#N/A</v>
      </c>
      <c r="AO31" s="107" t="e">
        <f t="shared" si="0"/>
        <v>#N/A</v>
      </c>
      <c r="AP31" s="80"/>
      <c r="AQ31" s="80"/>
      <c r="AR31" s="80"/>
      <c r="AS31" s="80"/>
      <c r="AT31" s="80"/>
      <c r="AU31" s="80"/>
      <c r="AV31" s="80"/>
      <c r="AW31" s="80"/>
      <c r="AX31" s="80"/>
      <c r="AY31" s="80"/>
      <c r="AZ31" s="80"/>
      <c r="BA31" s="80"/>
    </row>
    <row r="32" spans="1:53" s="75" customFormat="1" x14ac:dyDescent="0.25">
      <c r="A32" s="110"/>
      <c r="B32" s="111"/>
      <c r="C32" s="112"/>
      <c r="D32" s="111"/>
      <c r="E32" s="545"/>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16" t="e">
        <f>IF(INDEX(TARIFF_TABLE[#All], MATCH($B32,TARIFF_TABLE[[#All],[Activity]],0),MATCH("ActivityType",TARIFF_TABLE[#Headers]))="Investigation",INDEX(TARIFF_TABLE[#All], MATCH($B32,TARIFF_TABLE[[#All],[Activity]],0),MATCH("Cost",TARIFF_TABLE[#Headers],0)),INDEX(Staff_Costs[#All],MATCH('Per-Participant Activities Arm6'!D32,Staff_Costs[[#All],[Role]],0),MATCH("Per-minute cost",Staff_Costs[#Headers],0))*'Per-Participant Activities Arm6'!C32)</f>
        <v>#N/A</v>
      </c>
      <c r="AJ32" s="117" t="e">
        <f t="shared" si="1"/>
        <v>#N/A</v>
      </c>
      <c r="AK32" s="117" t="e">
        <f t="shared" si="1"/>
        <v>#N/A</v>
      </c>
      <c r="AL32" s="117" t="e">
        <f t="shared" si="1"/>
        <v>#N/A</v>
      </c>
      <c r="AM32" s="117" t="e">
        <f t="shared" si="1"/>
        <v>#N/A</v>
      </c>
      <c r="AN32" s="117" t="e">
        <f t="shared" si="1"/>
        <v>#N/A</v>
      </c>
      <c r="AO32" s="107" t="e">
        <f t="shared" si="0"/>
        <v>#N/A</v>
      </c>
      <c r="AP32" s="80"/>
      <c r="AQ32" s="80"/>
      <c r="AR32" s="80"/>
      <c r="AS32" s="80"/>
      <c r="AT32" s="80"/>
      <c r="AU32" s="80"/>
      <c r="AV32" s="80"/>
      <c r="AW32" s="80"/>
      <c r="AX32" s="80"/>
      <c r="AY32" s="80"/>
      <c r="AZ32" s="80"/>
      <c r="BA32" s="80"/>
    </row>
    <row r="33" spans="1:53" s="75" customFormat="1" x14ac:dyDescent="0.25">
      <c r="A33" s="110"/>
      <c r="B33" s="111"/>
      <c r="C33" s="112"/>
      <c r="D33" s="111"/>
      <c r="E33" s="545"/>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c r="AI33" s="116" t="e">
        <f>IF(INDEX(TARIFF_TABLE[#All], MATCH($B33,TARIFF_TABLE[[#All],[Activity]],0),MATCH("ActivityType",TARIFF_TABLE[#Headers]))="Investigation",INDEX(TARIFF_TABLE[#All], MATCH($B33,TARIFF_TABLE[[#All],[Activity]],0),MATCH("Cost",TARIFF_TABLE[#Headers],0)),INDEX(Staff_Costs[#All],MATCH('Per-Participant Activities Arm6'!D33,Staff_Costs[[#All],[Role]],0),MATCH("Per-minute cost",Staff_Costs[#Headers],0))*'Per-Participant Activities Arm6'!C33)</f>
        <v>#N/A</v>
      </c>
      <c r="AJ33" s="117" t="e">
        <f t="shared" si="1"/>
        <v>#N/A</v>
      </c>
      <c r="AK33" s="117" t="e">
        <f t="shared" si="1"/>
        <v>#N/A</v>
      </c>
      <c r="AL33" s="117" t="e">
        <f t="shared" si="1"/>
        <v>#N/A</v>
      </c>
      <c r="AM33" s="117" t="e">
        <f t="shared" si="1"/>
        <v>#N/A</v>
      </c>
      <c r="AN33" s="117" t="e">
        <f t="shared" si="1"/>
        <v>#N/A</v>
      </c>
      <c r="AO33" s="107" t="e">
        <f t="shared" si="0"/>
        <v>#N/A</v>
      </c>
      <c r="AP33" s="80"/>
      <c r="AQ33" s="80"/>
      <c r="AR33" s="80"/>
      <c r="AS33" s="80"/>
      <c r="AT33" s="80"/>
      <c r="AU33" s="80"/>
      <c r="AV33" s="80"/>
      <c r="AW33" s="80"/>
      <c r="AX33" s="80"/>
      <c r="AY33" s="80"/>
      <c r="AZ33" s="80"/>
      <c r="BA33" s="80"/>
    </row>
    <row r="34" spans="1:53" s="75" customFormat="1" x14ac:dyDescent="0.25">
      <c r="A34" s="110"/>
      <c r="B34" s="111"/>
      <c r="C34" s="112"/>
      <c r="D34" s="111"/>
      <c r="E34" s="545"/>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5"/>
      <c r="AI34" s="116" t="e">
        <f>IF(INDEX(TARIFF_TABLE[#All], MATCH($B34,TARIFF_TABLE[[#All],[Activity]],0),MATCH("ActivityType",TARIFF_TABLE[#Headers]))="Investigation",INDEX(TARIFF_TABLE[#All], MATCH($B34,TARIFF_TABLE[[#All],[Activity]],0),MATCH("Cost",TARIFF_TABLE[#Headers],0)),INDEX(Staff_Costs[#All],MATCH('Per-Participant Activities Arm6'!D34,Staff_Costs[[#All],[Role]],0),MATCH("Per-minute cost",Staff_Costs[#Headers],0))*'Per-Participant Activities Arm6'!C34)</f>
        <v>#N/A</v>
      </c>
      <c r="AJ34" s="117" t="e">
        <f t="shared" si="1"/>
        <v>#N/A</v>
      </c>
      <c r="AK34" s="117" t="e">
        <f t="shared" si="1"/>
        <v>#N/A</v>
      </c>
      <c r="AL34" s="117" t="e">
        <f t="shared" si="1"/>
        <v>#N/A</v>
      </c>
      <c r="AM34" s="117" t="e">
        <f t="shared" si="1"/>
        <v>#N/A</v>
      </c>
      <c r="AN34" s="117" t="e">
        <f t="shared" si="1"/>
        <v>#N/A</v>
      </c>
      <c r="AO34" s="107" t="e">
        <f t="shared" si="0"/>
        <v>#N/A</v>
      </c>
      <c r="AP34" s="80"/>
      <c r="AQ34" s="80"/>
      <c r="AR34" s="80"/>
      <c r="AS34" s="80"/>
      <c r="AT34" s="80"/>
      <c r="AU34" s="80"/>
      <c r="AV34" s="80"/>
      <c r="AW34" s="80"/>
      <c r="AX34" s="80"/>
      <c r="AY34" s="80"/>
      <c r="AZ34" s="80"/>
      <c r="BA34" s="80"/>
    </row>
    <row r="35" spans="1:53" s="75" customFormat="1" x14ac:dyDescent="0.25">
      <c r="A35" s="110"/>
      <c r="B35" s="111"/>
      <c r="C35" s="112"/>
      <c r="D35" s="111"/>
      <c r="E35" s="54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5"/>
      <c r="AI35" s="116" t="e">
        <f>IF(INDEX(TARIFF_TABLE[#All], MATCH($B35,TARIFF_TABLE[[#All],[Activity]],0),MATCH("ActivityType",TARIFF_TABLE[#Headers]))="Investigation",INDEX(TARIFF_TABLE[#All], MATCH($B35,TARIFF_TABLE[[#All],[Activity]],0),MATCH("Cost",TARIFF_TABLE[#Headers],0)),INDEX(Staff_Costs[#All],MATCH('Per-Participant Activities Arm6'!D35,Staff_Costs[[#All],[Role]],0),MATCH("Per-minute cost",Staff_Costs[#Headers],0))*'Per-Participant Activities Arm6'!C35)</f>
        <v>#N/A</v>
      </c>
      <c r="AJ35" s="117" t="e">
        <f t="shared" si="1"/>
        <v>#N/A</v>
      </c>
      <c r="AK35" s="117" t="e">
        <f t="shared" si="1"/>
        <v>#N/A</v>
      </c>
      <c r="AL35" s="117" t="e">
        <f t="shared" si="1"/>
        <v>#N/A</v>
      </c>
      <c r="AM35" s="117" t="e">
        <f t="shared" si="1"/>
        <v>#N/A</v>
      </c>
      <c r="AN35" s="117" t="e">
        <f t="shared" si="1"/>
        <v>#N/A</v>
      </c>
      <c r="AO35" s="107" t="e">
        <f t="shared" si="0"/>
        <v>#N/A</v>
      </c>
      <c r="AP35" s="80"/>
      <c r="AQ35" s="80"/>
      <c r="AR35" s="80"/>
      <c r="AS35" s="80"/>
      <c r="AT35" s="80"/>
      <c r="AU35" s="80"/>
      <c r="AV35" s="80"/>
      <c r="AW35" s="80"/>
      <c r="AX35" s="80"/>
      <c r="AY35" s="80"/>
      <c r="AZ35" s="80"/>
      <c r="BA35" s="80"/>
    </row>
    <row r="36" spans="1:53" s="75" customFormat="1" x14ac:dyDescent="0.25">
      <c r="A36" s="110"/>
      <c r="B36" s="111"/>
      <c r="C36" s="112"/>
      <c r="D36" s="111"/>
      <c r="E36" s="545"/>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5"/>
      <c r="AI36" s="116" t="e">
        <f>IF(INDEX(TARIFF_TABLE[#All], MATCH($B36,TARIFF_TABLE[[#All],[Activity]],0),MATCH("ActivityType",TARIFF_TABLE[#Headers]))="Investigation",INDEX(TARIFF_TABLE[#All], MATCH($B36,TARIFF_TABLE[[#All],[Activity]],0),MATCH("Cost",TARIFF_TABLE[#Headers],0)),INDEX(Staff_Costs[#All],MATCH('Per-Participant Activities Arm6'!D36,Staff_Costs[[#All],[Role]],0),MATCH("Per-minute cost",Staff_Costs[#Headers],0))*'Per-Participant Activities Arm6'!C36)</f>
        <v>#N/A</v>
      </c>
      <c r="AJ36" s="117" t="e">
        <f t="shared" si="1"/>
        <v>#N/A</v>
      </c>
      <c r="AK36" s="117" t="e">
        <f t="shared" si="1"/>
        <v>#N/A</v>
      </c>
      <c r="AL36" s="117" t="e">
        <f t="shared" si="1"/>
        <v>#N/A</v>
      </c>
      <c r="AM36" s="117" t="e">
        <f t="shared" si="1"/>
        <v>#N/A</v>
      </c>
      <c r="AN36" s="117" t="e">
        <f t="shared" si="1"/>
        <v>#N/A</v>
      </c>
      <c r="AO36" s="107" t="e">
        <f t="shared" si="0"/>
        <v>#N/A</v>
      </c>
      <c r="AP36" s="80"/>
      <c r="AQ36" s="80"/>
      <c r="AR36" s="80"/>
      <c r="AS36" s="80"/>
      <c r="AT36" s="80"/>
      <c r="AU36" s="80"/>
      <c r="AV36" s="80"/>
      <c r="AW36" s="80"/>
      <c r="AX36" s="80"/>
      <c r="AY36" s="80"/>
      <c r="AZ36" s="80"/>
      <c r="BA36" s="80"/>
    </row>
    <row r="37" spans="1:53" s="75" customFormat="1" x14ac:dyDescent="0.25">
      <c r="A37" s="110"/>
      <c r="B37" s="111"/>
      <c r="C37" s="112"/>
      <c r="D37" s="111"/>
      <c r="E37" s="545"/>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c r="AI37" s="116" t="e">
        <f>IF(INDEX(TARIFF_TABLE[#All], MATCH($B37,TARIFF_TABLE[[#All],[Activity]],0),MATCH("ActivityType",TARIFF_TABLE[#Headers]))="Investigation",INDEX(TARIFF_TABLE[#All], MATCH($B37,TARIFF_TABLE[[#All],[Activity]],0),MATCH("Cost",TARIFF_TABLE[#Headers],0)),INDEX(Staff_Costs[#All],MATCH('Per-Participant Activities Arm6'!D37,Staff_Costs[[#All],[Role]],0),MATCH("Per-minute cost",Staff_Costs[#Headers],0))*'Per-Participant Activities Arm6'!C37)</f>
        <v>#N/A</v>
      </c>
      <c r="AJ37" s="117" t="e">
        <f t="shared" si="1"/>
        <v>#N/A</v>
      </c>
      <c r="AK37" s="117" t="e">
        <f t="shared" si="1"/>
        <v>#N/A</v>
      </c>
      <c r="AL37" s="117" t="e">
        <f t="shared" si="1"/>
        <v>#N/A</v>
      </c>
      <c r="AM37" s="117" t="e">
        <f t="shared" si="1"/>
        <v>#N/A</v>
      </c>
      <c r="AN37" s="117" t="e">
        <f t="shared" si="1"/>
        <v>#N/A</v>
      </c>
      <c r="AO37" s="107" t="e">
        <f t="shared" si="0"/>
        <v>#N/A</v>
      </c>
      <c r="AP37" s="80"/>
      <c r="AQ37" s="80"/>
      <c r="AR37" s="80"/>
      <c r="AS37" s="80"/>
      <c r="AT37" s="80"/>
      <c r="AU37" s="80"/>
      <c r="AV37" s="80"/>
      <c r="AW37" s="80"/>
      <c r="AX37" s="80"/>
      <c r="AY37" s="80"/>
      <c r="AZ37" s="80"/>
      <c r="BA37" s="80"/>
    </row>
    <row r="38" spans="1:53" s="75" customFormat="1" x14ac:dyDescent="0.25">
      <c r="A38" s="110"/>
      <c r="B38" s="111"/>
      <c r="C38" s="112"/>
      <c r="D38" s="111"/>
      <c r="E38" s="545"/>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6" t="e">
        <f>IF(INDEX(TARIFF_TABLE[#All], MATCH($B38,TARIFF_TABLE[[#All],[Activity]],0),MATCH("ActivityType",TARIFF_TABLE[#Headers]))="Investigation",INDEX(TARIFF_TABLE[#All], MATCH($B38,TARIFF_TABLE[[#All],[Activity]],0),MATCH("Cost",TARIFF_TABLE[#Headers],0)),INDEX(Staff_Costs[#All],MATCH('Per-Participant Activities Arm6'!D38,Staff_Costs[[#All],[Role]],0),MATCH("Per-minute cost",Staff_Costs[#Headers],0))*'Per-Participant Activities Arm6'!C38)</f>
        <v>#N/A</v>
      </c>
      <c r="AJ38" s="117" t="e">
        <f t="shared" si="1"/>
        <v>#N/A</v>
      </c>
      <c r="AK38" s="117" t="e">
        <f t="shared" si="1"/>
        <v>#N/A</v>
      </c>
      <c r="AL38" s="117" t="e">
        <f t="shared" si="1"/>
        <v>#N/A</v>
      </c>
      <c r="AM38" s="117" t="e">
        <f t="shared" si="1"/>
        <v>#N/A</v>
      </c>
      <c r="AN38" s="117" t="e">
        <f t="shared" si="1"/>
        <v>#N/A</v>
      </c>
      <c r="AO38" s="107" t="e">
        <f t="shared" si="0"/>
        <v>#N/A</v>
      </c>
      <c r="AP38" s="80"/>
      <c r="AQ38" s="80"/>
      <c r="AR38" s="80"/>
      <c r="AS38" s="80"/>
      <c r="AT38" s="80"/>
      <c r="AU38" s="80"/>
      <c r="AV38" s="80"/>
      <c r="AW38" s="80"/>
      <c r="AX38" s="80"/>
      <c r="AY38" s="80"/>
      <c r="AZ38" s="80"/>
      <c r="BA38" s="80"/>
    </row>
    <row r="39" spans="1:53" s="75" customFormat="1" x14ac:dyDescent="0.25">
      <c r="A39" s="110"/>
      <c r="B39" s="111"/>
      <c r="C39" s="112"/>
      <c r="D39" s="111"/>
      <c r="E39" s="545"/>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5"/>
      <c r="AI39" s="116" t="e">
        <f>IF(INDEX(TARIFF_TABLE[#All], MATCH($B39,TARIFF_TABLE[[#All],[Activity]],0),MATCH("ActivityType",TARIFF_TABLE[#Headers]))="Investigation",INDEX(TARIFF_TABLE[#All], MATCH($B39,TARIFF_TABLE[[#All],[Activity]],0),MATCH("Cost",TARIFF_TABLE[#Headers],0)),INDEX(Staff_Costs[#All],MATCH('Per-Participant Activities Arm6'!D39,Staff_Costs[[#All],[Role]],0),MATCH("Per-minute cost",Staff_Costs[#Headers],0))*'Per-Participant Activities Arm6'!C39)</f>
        <v>#N/A</v>
      </c>
      <c r="AJ39" s="117" t="e">
        <f t="shared" si="1"/>
        <v>#N/A</v>
      </c>
      <c r="AK39" s="117" t="e">
        <f t="shared" si="1"/>
        <v>#N/A</v>
      </c>
      <c r="AL39" s="117" t="e">
        <f t="shared" si="1"/>
        <v>#N/A</v>
      </c>
      <c r="AM39" s="117" t="e">
        <f t="shared" si="1"/>
        <v>#N/A</v>
      </c>
      <c r="AN39" s="117" t="e">
        <f t="shared" si="1"/>
        <v>#N/A</v>
      </c>
      <c r="AO39" s="107" t="e">
        <f t="shared" si="0"/>
        <v>#N/A</v>
      </c>
      <c r="AP39" s="80"/>
      <c r="AQ39" s="80"/>
      <c r="AR39" s="80"/>
      <c r="AS39" s="80"/>
      <c r="AT39" s="80"/>
      <c r="AU39" s="80"/>
      <c r="AV39" s="80"/>
      <c r="AW39" s="80"/>
      <c r="AX39" s="80"/>
      <c r="AY39" s="80"/>
      <c r="AZ39" s="80"/>
      <c r="BA39" s="80"/>
    </row>
    <row r="40" spans="1:53" s="75" customFormat="1" x14ac:dyDescent="0.25">
      <c r="A40" s="110"/>
      <c r="B40" s="111"/>
      <c r="C40" s="112"/>
      <c r="D40" s="111"/>
      <c r="E40" s="545"/>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5"/>
      <c r="AI40" s="116" t="e">
        <f>IF(INDEX(TARIFF_TABLE[#All], MATCH($B40,TARIFF_TABLE[[#All],[Activity]],0),MATCH("ActivityType",TARIFF_TABLE[#Headers]))="Investigation",INDEX(TARIFF_TABLE[#All], MATCH($B40,TARIFF_TABLE[[#All],[Activity]],0),MATCH("Cost",TARIFF_TABLE[#Headers],0)),INDEX(Staff_Costs[#All],MATCH('Per-Participant Activities Arm6'!D40,Staff_Costs[[#All],[Role]],0),MATCH("Per-minute cost",Staff_Costs[#Headers],0))*'Per-Participant Activities Arm6'!C40)</f>
        <v>#N/A</v>
      </c>
      <c r="AJ40" s="117" t="e">
        <f t="shared" si="1"/>
        <v>#N/A</v>
      </c>
      <c r="AK40" s="117" t="e">
        <f t="shared" si="1"/>
        <v>#N/A</v>
      </c>
      <c r="AL40" s="117" t="e">
        <f t="shared" si="1"/>
        <v>#N/A</v>
      </c>
      <c r="AM40" s="117" t="e">
        <f t="shared" si="1"/>
        <v>#N/A</v>
      </c>
      <c r="AN40" s="117" t="e">
        <f t="shared" si="1"/>
        <v>#N/A</v>
      </c>
      <c r="AO40" s="107" t="e">
        <f t="shared" si="0"/>
        <v>#N/A</v>
      </c>
      <c r="AP40" s="80"/>
      <c r="AQ40" s="80"/>
      <c r="AR40" s="80"/>
      <c r="AS40" s="80"/>
      <c r="AT40" s="80"/>
      <c r="AU40" s="80"/>
      <c r="AV40" s="80"/>
      <c r="AW40" s="80"/>
      <c r="AX40" s="80"/>
      <c r="AY40" s="80"/>
      <c r="AZ40" s="80"/>
      <c r="BA40" s="80"/>
    </row>
    <row r="41" spans="1:53" s="75" customFormat="1" x14ac:dyDescent="0.25">
      <c r="A41" s="110"/>
      <c r="B41" s="111"/>
      <c r="C41" s="112"/>
      <c r="D41" s="111"/>
      <c r="E41" s="545"/>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5"/>
      <c r="AI41" s="116" t="e">
        <f>IF(INDEX(TARIFF_TABLE[#All], MATCH($B41,TARIFF_TABLE[[#All],[Activity]],0),MATCH("ActivityType",TARIFF_TABLE[#Headers]))="Investigation",INDEX(TARIFF_TABLE[#All], MATCH($B41,TARIFF_TABLE[[#All],[Activity]],0),MATCH("Cost",TARIFF_TABLE[#Headers],0)),INDEX(Staff_Costs[#All],MATCH('Per-Participant Activities Arm6'!D41,Staff_Costs[[#All],[Role]],0),MATCH("Per-minute cost",Staff_Costs[#Headers],0))*'Per-Participant Activities Arm6'!C41)</f>
        <v>#N/A</v>
      </c>
      <c r="AJ41" s="117" t="e">
        <f t="shared" si="1"/>
        <v>#N/A</v>
      </c>
      <c r="AK41" s="117" t="e">
        <f t="shared" si="1"/>
        <v>#N/A</v>
      </c>
      <c r="AL41" s="117" t="e">
        <f t="shared" si="1"/>
        <v>#N/A</v>
      </c>
      <c r="AM41" s="117" t="e">
        <f t="shared" si="1"/>
        <v>#N/A</v>
      </c>
      <c r="AN41" s="117" t="e">
        <f t="shared" si="1"/>
        <v>#N/A</v>
      </c>
      <c r="AO41" s="107" t="e">
        <f t="shared" si="0"/>
        <v>#N/A</v>
      </c>
      <c r="AP41" s="80"/>
      <c r="AQ41" s="80"/>
      <c r="AR41" s="80"/>
      <c r="AS41" s="80"/>
      <c r="AT41" s="80"/>
      <c r="AU41" s="80"/>
      <c r="AV41" s="80"/>
      <c r="AW41" s="80"/>
      <c r="AX41" s="80"/>
      <c r="AY41" s="80"/>
      <c r="AZ41" s="80"/>
      <c r="BA41" s="80"/>
    </row>
    <row r="42" spans="1:53" s="75" customFormat="1" x14ac:dyDescent="0.25">
      <c r="A42" s="110"/>
      <c r="B42" s="111"/>
      <c r="C42" s="112"/>
      <c r="D42" s="111"/>
      <c r="E42" s="545"/>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5"/>
      <c r="AI42" s="116" t="e">
        <f>IF(INDEX(TARIFF_TABLE[#All], MATCH($B42,TARIFF_TABLE[[#All],[Activity]],0),MATCH("ActivityType",TARIFF_TABLE[#Headers]))="Investigation",INDEX(TARIFF_TABLE[#All], MATCH($B42,TARIFF_TABLE[[#All],[Activity]],0),MATCH("Cost",TARIFF_TABLE[#Headers],0)),INDEX(Staff_Costs[#All],MATCH('Per-Participant Activities Arm6'!D42,Staff_Costs[[#All],[Role]],0),MATCH("Per-minute cost",Staff_Costs[#Headers],0))*'Per-Participant Activities Arm6'!C42)</f>
        <v>#N/A</v>
      </c>
      <c r="AJ42" s="117" t="e">
        <f t="shared" si="1"/>
        <v>#N/A</v>
      </c>
      <c r="AK42" s="117" t="e">
        <f t="shared" si="1"/>
        <v>#N/A</v>
      </c>
      <c r="AL42" s="117" t="e">
        <f t="shared" si="1"/>
        <v>#N/A</v>
      </c>
      <c r="AM42" s="117" t="e">
        <f t="shared" si="1"/>
        <v>#N/A</v>
      </c>
      <c r="AN42" s="117" t="e">
        <f t="shared" si="1"/>
        <v>#N/A</v>
      </c>
      <c r="AO42" s="107" t="e">
        <f t="shared" ref="AO42:AO64" si="2">INDEX(Tariff_Activity_Type,MATCH(B42,Tariff_Activity,0))</f>
        <v>#N/A</v>
      </c>
      <c r="AP42" s="80"/>
      <c r="AQ42" s="80"/>
      <c r="AR42" s="80"/>
      <c r="AS42" s="80"/>
      <c r="AT42" s="80"/>
      <c r="AU42" s="80"/>
      <c r="AV42" s="80"/>
      <c r="AW42" s="80"/>
      <c r="AX42" s="80"/>
      <c r="AY42" s="80"/>
      <c r="AZ42" s="80"/>
      <c r="BA42" s="80"/>
    </row>
    <row r="43" spans="1:53" s="75" customFormat="1" x14ac:dyDescent="0.25">
      <c r="A43" s="110"/>
      <c r="B43" s="111"/>
      <c r="C43" s="112"/>
      <c r="D43" s="111"/>
      <c r="E43" s="545"/>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6" t="e">
        <f>IF(INDEX(TARIFF_TABLE[#All], MATCH($B43,TARIFF_TABLE[[#All],[Activity]],0),MATCH("ActivityType",TARIFF_TABLE[#Headers]))="Investigation",INDEX(TARIFF_TABLE[#All], MATCH($B43,TARIFF_TABLE[[#All],[Activity]],0),MATCH("Cost",TARIFF_TABLE[#Headers],0)),INDEX(Staff_Costs[#All],MATCH('Per-Participant Activities Arm6'!D43,Staff_Costs[[#All],[Role]],0),MATCH("Per-minute cost",Staff_Costs[#Headers],0))*'Per-Participant Activities Arm6'!C43)</f>
        <v>#N/A</v>
      </c>
      <c r="AJ43" s="117" t="e">
        <f t="shared" ref="AJ43:AN65" si="3">COUNTIF($F43:$AH43, AJ$8)*$AI43</f>
        <v>#N/A</v>
      </c>
      <c r="AK43" s="117" t="e">
        <f t="shared" si="3"/>
        <v>#N/A</v>
      </c>
      <c r="AL43" s="117" t="e">
        <f t="shared" si="3"/>
        <v>#N/A</v>
      </c>
      <c r="AM43" s="117" t="e">
        <f t="shared" si="3"/>
        <v>#N/A</v>
      </c>
      <c r="AN43" s="117" t="e">
        <f t="shared" si="3"/>
        <v>#N/A</v>
      </c>
      <c r="AO43" s="107" t="e">
        <f t="shared" si="2"/>
        <v>#N/A</v>
      </c>
      <c r="AP43" s="80"/>
      <c r="AQ43" s="80"/>
      <c r="AR43" s="80"/>
      <c r="AS43" s="80"/>
      <c r="AT43" s="80"/>
      <c r="AU43" s="80"/>
      <c r="AV43" s="80"/>
      <c r="AW43" s="80"/>
      <c r="AX43" s="80"/>
      <c r="AY43" s="80"/>
      <c r="AZ43" s="80"/>
      <c r="BA43" s="80"/>
    </row>
    <row r="44" spans="1:53" s="75" customFormat="1" x14ac:dyDescent="0.25">
      <c r="A44" s="110"/>
      <c r="B44" s="111"/>
      <c r="C44" s="112"/>
      <c r="D44" s="111"/>
      <c r="E44" s="545"/>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5"/>
      <c r="AI44" s="116" t="e">
        <f>IF(INDEX(TARIFF_TABLE[#All], MATCH($B44,TARIFF_TABLE[[#All],[Activity]],0),MATCH("ActivityType",TARIFF_TABLE[#Headers]))="Investigation",INDEX(TARIFF_TABLE[#All], MATCH($B44,TARIFF_TABLE[[#All],[Activity]],0),MATCH("Cost",TARIFF_TABLE[#Headers],0)),INDEX(Staff_Costs[#All],MATCH('Per-Participant Activities Arm6'!D44,Staff_Costs[[#All],[Role]],0),MATCH("Per-minute cost",Staff_Costs[#Headers],0))*'Per-Participant Activities Arm6'!C44)</f>
        <v>#N/A</v>
      </c>
      <c r="AJ44" s="117" t="e">
        <f t="shared" si="3"/>
        <v>#N/A</v>
      </c>
      <c r="AK44" s="117" t="e">
        <f t="shared" si="3"/>
        <v>#N/A</v>
      </c>
      <c r="AL44" s="117" t="e">
        <f t="shared" si="3"/>
        <v>#N/A</v>
      </c>
      <c r="AM44" s="117" t="e">
        <f t="shared" si="3"/>
        <v>#N/A</v>
      </c>
      <c r="AN44" s="117" t="e">
        <f t="shared" si="3"/>
        <v>#N/A</v>
      </c>
      <c r="AO44" s="107" t="e">
        <f t="shared" si="2"/>
        <v>#N/A</v>
      </c>
      <c r="AP44" s="80"/>
      <c r="AQ44" s="80"/>
      <c r="AR44" s="80"/>
      <c r="AS44" s="80"/>
      <c r="AT44" s="80"/>
      <c r="AU44" s="80"/>
      <c r="AV44" s="80"/>
      <c r="AW44" s="80"/>
      <c r="AX44" s="80"/>
      <c r="AY44" s="80"/>
      <c r="AZ44" s="80"/>
      <c r="BA44" s="80"/>
    </row>
    <row r="45" spans="1:53" s="75" customFormat="1" x14ac:dyDescent="0.25">
      <c r="A45" s="110"/>
      <c r="B45" s="111"/>
      <c r="C45" s="112"/>
      <c r="D45" s="111"/>
      <c r="E45" s="545"/>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5"/>
      <c r="AI45" s="116" t="e">
        <f>IF(INDEX(TARIFF_TABLE[#All], MATCH($B45,TARIFF_TABLE[[#All],[Activity]],0),MATCH("ActivityType",TARIFF_TABLE[#Headers]))="Investigation",INDEX(TARIFF_TABLE[#All], MATCH($B45,TARIFF_TABLE[[#All],[Activity]],0),MATCH("Cost",TARIFF_TABLE[#Headers],0)),INDEX(Staff_Costs[#All],MATCH('Per-Participant Activities Arm6'!D45,Staff_Costs[[#All],[Role]],0),MATCH("Per-minute cost",Staff_Costs[#Headers],0))*'Per-Participant Activities Arm6'!C45)</f>
        <v>#N/A</v>
      </c>
      <c r="AJ45" s="117" t="e">
        <f t="shared" si="3"/>
        <v>#N/A</v>
      </c>
      <c r="AK45" s="117" t="e">
        <f t="shared" si="3"/>
        <v>#N/A</v>
      </c>
      <c r="AL45" s="117" t="e">
        <f t="shared" si="3"/>
        <v>#N/A</v>
      </c>
      <c r="AM45" s="117" t="e">
        <f t="shared" si="3"/>
        <v>#N/A</v>
      </c>
      <c r="AN45" s="117" t="e">
        <f t="shared" si="3"/>
        <v>#N/A</v>
      </c>
      <c r="AO45" s="107" t="e">
        <f t="shared" si="2"/>
        <v>#N/A</v>
      </c>
      <c r="AP45" s="80"/>
      <c r="AQ45" s="80"/>
      <c r="AR45" s="80"/>
      <c r="AS45" s="80"/>
      <c r="AT45" s="80"/>
      <c r="AU45" s="80"/>
      <c r="AV45" s="80"/>
      <c r="AW45" s="80"/>
      <c r="AX45" s="80"/>
      <c r="AY45" s="80"/>
      <c r="AZ45" s="80"/>
      <c r="BA45" s="80"/>
    </row>
    <row r="46" spans="1:53" s="75" customFormat="1" x14ac:dyDescent="0.25">
      <c r="A46" s="110"/>
      <c r="B46" s="111"/>
      <c r="C46" s="112"/>
      <c r="D46" s="111"/>
      <c r="E46" s="545"/>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c r="AI46" s="116" t="e">
        <f>IF(INDEX(TARIFF_TABLE[#All], MATCH($B46,TARIFF_TABLE[[#All],[Activity]],0),MATCH("ActivityType",TARIFF_TABLE[#Headers]))="Investigation",INDEX(TARIFF_TABLE[#All], MATCH($B46,TARIFF_TABLE[[#All],[Activity]],0),MATCH("Cost",TARIFF_TABLE[#Headers],0)),INDEX(Staff_Costs[#All],MATCH('Per-Participant Activities Arm6'!D46,Staff_Costs[[#All],[Role]],0),MATCH("Per-minute cost",Staff_Costs[#Headers],0))*'Per-Participant Activities Arm6'!C46)</f>
        <v>#N/A</v>
      </c>
      <c r="AJ46" s="117" t="e">
        <f t="shared" si="3"/>
        <v>#N/A</v>
      </c>
      <c r="AK46" s="117" t="e">
        <f t="shared" si="3"/>
        <v>#N/A</v>
      </c>
      <c r="AL46" s="117" t="e">
        <f t="shared" si="3"/>
        <v>#N/A</v>
      </c>
      <c r="AM46" s="117" t="e">
        <f t="shared" si="3"/>
        <v>#N/A</v>
      </c>
      <c r="AN46" s="117" t="e">
        <f t="shared" si="3"/>
        <v>#N/A</v>
      </c>
      <c r="AO46" s="107" t="e">
        <f t="shared" si="2"/>
        <v>#N/A</v>
      </c>
      <c r="AP46" s="80"/>
      <c r="AQ46" s="80"/>
      <c r="AR46" s="80"/>
      <c r="AS46" s="80"/>
      <c r="AT46" s="80"/>
      <c r="AU46" s="80"/>
      <c r="AV46" s="80"/>
      <c r="AW46" s="80"/>
      <c r="AX46" s="80"/>
      <c r="AY46" s="80"/>
      <c r="AZ46" s="80"/>
      <c r="BA46" s="80"/>
    </row>
    <row r="47" spans="1:53" s="75" customFormat="1" x14ac:dyDescent="0.25">
      <c r="A47" s="110"/>
      <c r="B47" s="111"/>
      <c r="C47" s="112"/>
      <c r="D47" s="111"/>
      <c r="E47" s="54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116" t="e">
        <f>IF(INDEX(TARIFF_TABLE[#All], MATCH($B47,TARIFF_TABLE[[#All],[Activity]],0),MATCH("ActivityType",TARIFF_TABLE[#Headers]))="Investigation",INDEX(TARIFF_TABLE[#All], MATCH($B47,TARIFF_TABLE[[#All],[Activity]],0),MATCH("Cost",TARIFF_TABLE[#Headers],0)),INDEX(Staff_Costs[#All],MATCH('Per-Participant Activities Arm6'!D47,Staff_Costs[[#All],[Role]],0),MATCH("Per-minute cost",Staff_Costs[#Headers],0))*'Per-Participant Activities Arm6'!C47)</f>
        <v>#N/A</v>
      </c>
      <c r="AJ47" s="117" t="e">
        <f t="shared" si="3"/>
        <v>#N/A</v>
      </c>
      <c r="AK47" s="117" t="e">
        <f t="shared" si="3"/>
        <v>#N/A</v>
      </c>
      <c r="AL47" s="117" t="e">
        <f t="shared" si="3"/>
        <v>#N/A</v>
      </c>
      <c r="AM47" s="117" t="e">
        <f t="shared" si="3"/>
        <v>#N/A</v>
      </c>
      <c r="AN47" s="117" t="e">
        <f t="shared" si="3"/>
        <v>#N/A</v>
      </c>
      <c r="AO47" s="107" t="e">
        <f t="shared" si="2"/>
        <v>#N/A</v>
      </c>
      <c r="AP47" s="80"/>
      <c r="AQ47" s="80"/>
      <c r="AR47" s="80"/>
      <c r="AS47" s="80"/>
      <c r="AT47" s="80"/>
      <c r="AU47" s="80"/>
      <c r="AV47" s="80"/>
      <c r="AW47" s="80"/>
      <c r="AX47" s="80"/>
      <c r="AY47" s="80"/>
      <c r="AZ47" s="80"/>
      <c r="BA47" s="80"/>
    </row>
    <row r="48" spans="1:53" s="75" customFormat="1" x14ac:dyDescent="0.25">
      <c r="A48" s="110"/>
      <c r="B48" s="111"/>
      <c r="C48" s="112"/>
      <c r="D48" s="111"/>
      <c r="E48" s="545"/>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c r="AI48" s="116" t="e">
        <f>IF(INDEX(TARIFF_TABLE[#All], MATCH($B48,TARIFF_TABLE[[#All],[Activity]],0),MATCH("ActivityType",TARIFF_TABLE[#Headers]))="Investigation",INDEX(TARIFF_TABLE[#All], MATCH($B48,TARIFF_TABLE[[#All],[Activity]],0),MATCH("Cost",TARIFF_TABLE[#Headers],0)),INDEX(Staff_Costs[#All],MATCH('Per-Participant Activities Arm6'!D48,Staff_Costs[[#All],[Role]],0),MATCH("Per-minute cost",Staff_Costs[#Headers],0))*'Per-Participant Activities Arm6'!C48)</f>
        <v>#N/A</v>
      </c>
      <c r="AJ48" s="117" t="e">
        <f t="shared" si="3"/>
        <v>#N/A</v>
      </c>
      <c r="AK48" s="117" t="e">
        <f t="shared" si="3"/>
        <v>#N/A</v>
      </c>
      <c r="AL48" s="117" t="e">
        <f t="shared" si="3"/>
        <v>#N/A</v>
      </c>
      <c r="AM48" s="117" t="e">
        <f t="shared" si="3"/>
        <v>#N/A</v>
      </c>
      <c r="AN48" s="117" t="e">
        <f t="shared" si="3"/>
        <v>#N/A</v>
      </c>
      <c r="AO48" s="107" t="e">
        <f t="shared" si="2"/>
        <v>#N/A</v>
      </c>
      <c r="AP48" s="80"/>
      <c r="AQ48" s="80"/>
      <c r="AR48" s="80"/>
      <c r="AS48" s="80"/>
      <c r="AT48" s="80"/>
      <c r="AU48" s="80"/>
      <c r="AV48" s="80"/>
      <c r="AW48" s="80"/>
      <c r="AX48" s="80"/>
      <c r="AY48" s="80"/>
      <c r="AZ48" s="80"/>
      <c r="BA48" s="80"/>
    </row>
    <row r="49" spans="1:53" s="75" customFormat="1" x14ac:dyDescent="0.25">
      <c r="A49" s="110"/>
      <c r="B49" s="111"/>
      <c r="C49" s="112"/>
      <c r="D49" s="111"/>
      <c r="E49" s="545"/>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116" t="e">
        <f>IF(INDEX(TARIFF_TABLE[#All], MATCH($B49,TARIFF_TABLE[[#All],[Activity]],0),MATCH("ActivityType",TARIFF_TABLE[#Headers]))="Investigation",INDEX(TARIFF_TABLE[#All], MATCH($B49,TARIFF_TABLE[[#All],[Activity]],0),MATCH("Cost",TARIFF_TABLE[#Headers],0)),INDEX(Staff_Costs[#All],MATCH('Per-Participant Activities Arm6'!D49,Staff_Costs[[#All],[Role]],0),MATCH("Per-minute cost",Staff_Costs[#Headers],0))*'Per-Participant Activities Arm6'!C49)</f>
        <v>#N/A</v>
      </c>
      <c r="AJ49" s="117" t="e">
        <f t="shared" si="3"/>
        <v>#N/A</v>
      </c>
      <c r="AK49" s="117" t="e">
        <f t="shared" si="3"/>
        <v>#N/A</v>
      </c>
      <c r="AL49" s="117" t="e">
        <f t="shared" si="3"/>
        <v>#N/A</v>
      </c>
      <c r="AM49" s="117" t="e">
        <f t="shared" si="3"/>
        <v>#N/A</v>
      </c>
      <c r="AN49" s="117" t="e">
        <f t="shared" si="3"/>
        <v>#N/A</v>
      </c>
      <c r="AO49" s="107" t="e">
        <f t="shared" si="2"/>
        <v>#N/A</v>
      </c>
      <c r="AP49" s="80"/>
      <c r="AQ49" s="80"/>
      <c r="AR49" s="80"/>
      <c r="AS49" s="80"/>
      <c r="AT49" s="80"/>
      <c r="AU49" s="80"/>
      <c r="AV49" s="80"/>
      <c r="AW49" s="80"/>
      <c r="AX49" s="80"/>
      <c r="AY49" s="80"/>
      <c r="AZ49" s="80"/>
      <c r="BA49" s="80"/>
    </row>
    <row r="50" spans="1:53" s="75" customFormat="1" x14ac:dyDescent="0.25">
      <c r="A50" s="110"/>
      <c r="B50" s="111"/>
      <c r="C50" s="112"/>
      <c r="D50" s="111"/>
      <c r="E50" s="54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c r="AI50" s="116" t="e">
        <f>IF(INDEX(TARIFF_TABLE[#All], MATCH($B50,TARIFF_TABLE[[#All],[Activity]],0),MATCH("ActivityType",TARIFF_TABLE[#Headers]))="Investigation",INDEX(TARIFF_TABLE[#All], MATCH($B50,TARIFF_TABLE[[#All],[Activity]],0),MATCH("Cost",TARIFF_TABLE[#Headers],0)),INDEX(Staff_Costs[#All],MATCH('Per-Participant Activities Arm6'!D50,Staff_Costs[[#All],[Role]],0),MATCH("Per-minute cost",Staff_Costs[#Headers],0))*'Per-Participant Activities Arm6'!C50)</f>
        <v>#N/A</v>
      </c>
      <c r="AJ50" s="117" t="e">
        <f t="shared" si="3"/>
        <v>#N/A</v>
      </c>
      <c r="AK50" s="117" t="e">
        <f t="shared" si="3"/>
        <v>#N/A</v>
      </c>
      <c r="AL50" s="117" t="e">
        <f t="shared" si="3"/>
        <v>#N/A</v>
      </c>
      <c r="AM50" s="117" t="e">
        <f t="shared" si="3"/>
        <v>#N/A</v>
      </c>
      <c r="AN50" s="117" t="e">
        <f t="shared" si="3"/>
        <v>#N/A</v>
      </c>
      <c r="AO50" s="107" t="e">
        <f t="shared" si="2"/>
        <v>#N/A</v>
      </c>
      <c r="AP50" s="80"/>
      <c r="AQ50" s="80"/>
      <c r="AR50" s="80"/>
      <c r="AS50" s="80"/>
      <c r="AT50" s="80"/>
      <c r="AU50" s="80"/>
      <c r="AV50" s="80"/>
      <c r="AW50" s="80"/>
      <c r="AX50" s="80"/>
      <c r="AY50" s="80"/>
      <c r="AZ50" s="80"/>
      <c r="BA50" s="80"/>
    </row>
    <row r="51" spans="1:53" s="75" customFormat="1" x14ac:dyDescent="0.25">
      <c r="A51" s="110"/>
      <c r="B51" s="111"/>
      <c r="C51" s="112"/>
      <c r="D51" s="111"/>
      <c r="E51" s="54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5"/>
      <c r="AI51" s="116" t="e">
        <f>IF(INDEX(TARIFF_TABLE[#All], MATCH($B51,TARIFF_TABLE[[#All],[Activity]],0),MATCH("ActivityType",TARIFF_TABLE[#Headers]))="Investigation",INDEX(TARIFF_TABLE[#All], MATCH($B51,TARIFF_TABLE[[#All],[Activity]],0),MATCH("Cost",TARIFF_TABLE[#Headers],0)),INDEX(Staff_Costs[#All],MATCH('Per-Participant Activities Arm6'!D51,Staff_Costs[[#All],[Role]],0),MATCH("Per-minute cost",Staff_Costs[#Headers],0))*'Per-Participant Activities Arm6'!C51)</f>
        <v>#N/A</v>
      </c>
      <c r="AJ51" s="117" t="e">
        <f t="shared" si="3"/>
        <v>#N/A</v>
      </c>
      <c r="AK51" s="117" t="e">
        <f t="shared" si="3"/>
        <v>#N/A</v>
      </c>
      <c r="AL51" s="117" t="e">
        <f t="shared" si="3"/>
        <v>#N/A</v>
      </c>
      <c r="AM51" s="117" t="e">
        <f t="shared" si="3"/>
        <v>#N/A</v>
      </c>
      <c r="AN51" s="117" t="e">
        <f t="shared" si="3"/>
        <v>#N/A</v>
      </c>
      <c r="AO51" s="107" t="e">
        <f t="shared" si="2"/>
        <v>#N/A</v>
      </c>
      <c r="AP51" s="80"/>
      <c r="AQ51" s="80"/>
      <c r="AR51" s="80"/>
      <c r="AS51" s="80"/>
      <c r="AT51" s="80"/>
      <c r="AU51" s="80"/>
      <c r="AV51" s="80"/>
      <c r="AW51" s="80"/>
      <c r="AX51" s="80"/>
      <c r="AY51" s="80"/>
      <c r="AZ51" s="80"/>
      <c r="BA51" s="80"/>
    </row>
    <row r="52" spans="1:53" s="75" customFormat="1" x14ac:dyDescent="0.25">
      <c r="A52" s="110"/>
      <c r="B52" s="111"/>
      <c r="C52" s="112"/>
      <c r="D52" s="111"/>
      <c r="E52" s="545"/>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c r="AI52" s="116" t="e">
        <f>IF(INDEX(TARIFF_TABLE[#All], MATCH($B52,TARIFF_TABLE[[#All],[Activity]],0),MATCH("ActivityType",TARIFF_TABLE[#Headers]))="Investigation",INDEX(TARIFF_TABLE[#All], MATCH($B52,TARIFF_TABLE[[#All],[Activity]],0),MATCH("Cost",TARIFF_TABLE[#Headers],0)),INDEX(Staff_Costs[#All],MATCH('Per-Participant Activities Arm6'!D52,Staff_Costs[[#All],[Role]],0),MATCH("Per-minute cost",Staff_Costs[#Headers],0))*'Per-Participant Activities Arm6'!C52)</f>
        <v>#N/A</v>
      </c>
      <c r="AJ52" s="117" t="e">
        <f t="shared" si="3"/>
        <v>#N/A</v>
      </c>
      <c r="AK52" s="117" t="e">
        <f t="shared" si="3"/>
        <v>#N/A</v>
      </c>
      <c r="AL52" s="117" t="e">
        <f t="shared" si="3"/>
        <v>#N/A</v>
      </c>
      <c r="AM52" s="117" t="e">
        <f t="shared" si="3"/>
        <v>#N/A</v>
      </c>
      <c r="AN52" s="117" t="e">
        <f t="shared" si="3"/>
        <v>#N/A</v>
      </c>
      <c r="AO52" s="107" t="e">
        <f t="shared" si="2"/>
        <v>#N/A</v>
      </c>
      <c r="AP52" s="80"/>
      <c r="AQ52" s="80"/>
      <c r="AR52" s="80"/>
      <c r="AS52" s="80"/>
      <c r="AT52" s="80"/>
      <c r="AU52" s="80"/>
      <c r="AV52" s="80"/>
      <c r="AW52" s="80"/>
      <c r="AX52" s="80"/>
      <c r="AY52" s="80"/>
      <c r="AZ52" s="80"/>
      <c r="BA52" s="80"/>
    </row>
    <row r="53" spans="1:53" s="75" customFormat="1" x14ac:dyDescent="0.25">
      <c r="A53" s="110"/>
      <c r="B53" s="111"/>
      <c r="C53" s="112"/>
      <c r="D53" s="111"/>
      <c r="E53" s="545"/>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5"/>
      <c r="AI53" s="116" t="e">
        <f>IF(INDEX(TARIFF_TABLE[#All], MATCH($B53,TARIFF_TABLE[[#All],[Activity]],0),MATCH("ActivityType",TARIFF_TABLE[#Headers]))="Investigation",INDEX(TARIFF_TABLE[#All], MATCH($B53,TARIFF_TABLE[[#All],[Activity]],0),MATCH("Cost",TARIFF_TABLE[#Headers],0)),INDEX(Staff_Costs[#All],MATCH('Per-Participant Activities Arm6'!D53,Staff_Costs[[#All],[Role]],0),MATCH("Per-minute cost",Staff_Costs[#Headers],0))*'Per-Participant Activities Arm6'!C53)</f>
        <v>#N/A</v>
      </c>
      <c r="AJ53" s="117" t="e">
        <f t="shared" si="3"/>
        <v>#N/A</v>
      </c>
      <c r="AK53" s="117" t="e">
        <f t="shared" si="3"/>
        <v>#N/A</v>
      </c>
      <c r="AL53" s="117" t="e">
        <f t="shared" si="3"/>
        <v>#N/A</v>
      </c>
      <c r="AM53" s="117" t="e">
        <f t="shared" si="3"/>
        <v>#N/A</v>
      </c>
      <c r="AN53" s="117" t="e">
        <f t="shared" si="3"/>
        <v>#N/A</v>
      </c>
      <c r="AO53" s="107" t="e">
        <f t="shared" si="2"/>
        <v>#N/A</v>
      </c>
      <c r="AP53" s="80"/>
      <c r="AQ53" s="80"/>
      <c r="AR53" s="80"/>
      <c r="AS53" s="80"/>
      <c r="AT53" s="80"/>
      <c r="AU53" s="80"/>
      <c r="AV53" s="80"/>
      <c r="AW53" s="80"/>
      <c r="AX53" s="80"/>
      <c r="AY53" s="80"/>
      <c r="AZ53" s="80"/>
      <c r="BA53" s="80"/>
    </row>
    <row r="54" spans="1:53" s="75" customFormat="1" x14ac:dyDescent="0.25">
      <c r="A54" s="110"/>
      <c r="B54" s="111"/>
      <c r="C54" s="112"/>
      <c r="D54" s="111"/>
      <c r="E54" s="545"/>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c r="AI54" s="116" t="e">
        <f>IF(INDEX(TARIFF_TABLE[#All], MATCH($B54,TARIFF_TABLE[[#All],[Activity]],0),MATCH("ActivityType",TARIFF_TABLE[#Headers]))="Investigation",INDEX(TARIFF_TABLE[#All], MATCH($B54,TARIFF_TABLE[[#All],[Activity]],0),MATCH("Cost",TARIFF_TABLE[#Headers],0)),INDEX(Staff_Costs[#All],MATCH('Per-Participant Activities Arm6'!D54,Staff_Costs[[#All],[Role]],0),MATCH("Per-minute cost",Staff_Costs[#Headers],0))*'Per-Participant Activities Arm6'!C54)</f>
        <v>#N/A</v>
      </c>
      <c r="AJ54" s="117" t="e">
        <f t="shared" si="3"/>
        <v>#N/A</v>
      </c>
      <c r="AK54" s="117" t="e">
        <f t="shared" si="3"/>
        <v>#N/A</v>
      </c>
      <c r="AL54" s="117" t="e">
        <f t="shared" si="3"/>
        <v>#N/A</v>
      </c>
      <c r="AM54" s="117" t="e">
        <f t="shared" si="3"/>
        <v>#N/A</v>
      </c>
      <c r="AN54" s="117" t="e">
        <f t="shared" si="3"/>
        <v>#N/A</v>
      </c>
      <c r="AO54" s="107" t="e">
        <f t="shared" si="2"/>
        <v>#N/A</v>
      </c>
      <c r="AP54" s="80"/>
      <c r="AQ54" s="80"/>
      <c r="AR54" s="80"/>
      <c r="AS54" s="80"/>
      <c r="AT54" s="80"/>
      <c r="AU54" s="80"/>
      <c r="AV54" s="80"/>
      <c r="AW54" s="80"/>
      <c r="AX54" s="80"/>
      <c r="AY54" s="80"/>
      <c r="AZ54" s="80"/>
      <c r="BA54" s="80"/>
    </row>
    <row r="55" spans="1:53" s="75" customFormat="1" x14ac:dyDescent="0.25">
      <c r="A55" s="110"/>
      <c r="B55" s="111"/>
      <c r="C55" s="112"/>
      <c r="D55" s="111"/>
      <c r="E55" s="545"/>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5"/>
      <c r="AI55" s="116" t="e">
        <f>IF(INDEX(TARIFF_TABLE[#All], MATCH($B55,TARIFF_TABLE[[#All],[Activity]],0),MATCH("ActivityType",TARIFF_TABLE[#Headers]))="Investigation",INDEX(TARIFF_TABLE[#All], MATCH($B55,TARIFF_TABLE[[#All],[Activity]],0),MATCH("Cost",TARIFF_TABLE[#Headers],0)),INDEX(Staff_Costs[#All],MATCH('Per-Participant Activities Arm6'!D55,Staff_Costs[[#All],[Role]],0),MATCH("Per-minute cost",Staff_Costs[#Headers],0))*'Per-Participant Activities Arm6'!C55)</f>
        <v>#N/A</v>
      </c>
      <c r="AJ55" s="117" t="e">
        <f t="shared" si="3"/>
        <v>#N/A</v>
      </c>
      <c r="AK55" s="117" t="e">
        <f t="shared" si="3"/>
        <v>#N/A</v>
      </c>
      <c r="AL55" s="117" t="e">
        <f t="shared" si="3"/>
        <v>#N/A</v>
      </c>
      <c r="AM55" s="117" t="e">
        <f t="shared" si="3"/>
        <v>#N/A</v>
      </c>
      <c r="AN55" s="117" t="e">
        <f t="shared" si="3"/>
        <v>#N/A</v>
      </c>
      <c r="AO55" s="107" t="e">
        <f t="shared" si="2"/>
        <v>#N/A</v>
      </c>
      <c r="AP55" s="80"/>
      <c r="AQ55" s="80"/>
      <c r="AR55" s="80"/>
      <c r="AS55" s="80"/>
      <c r="AT55" s="80"/>
      <c r="AU55" s="80"/>
      <c r="AV55" s="80"/>
      <c r="AW55" s="80"/>
      <c r="AX55" s="80"/>
      <c r="AY55" s="80"/>
      <c r="AZ55" s="80"/>
      <c r="BA55" s="80"/>
    </row>
    <row r="56" spans="1:53" s="75" customFormat="1" x14ac:dyDescent="0.25">
      <c r="A56" s="110"/>
      <c r="B56" s="111"/>
      <c r="C56" s="112"/>
      <c r="D56" s="111"/>
      <c r="E56" s="545"/>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5"/>
      <c r="AI56" s="116" t="e">
        <f>IF(INDEX(TARIFF_TABLE[#All], MATCH($B56,TARIFF_TABLE[[#All],[Activity]],0),MATCH("ActivityType",TARIFF_TABLE[#Headers]))="Investigation",INDEX(TARIFF_TABLE[#All], MATCH($B56,TARIFF_TABLE[[#All],[Activity]],0),MATCH("Cost",TARIFF_TABLE[#Headers],0)),INDEX(Staff_Costs[#All],MATCH('Per-Participant Activities Arm6'!D56,Staff_Costs[[#All],[Role]],0),MATCH("Per-minute cost",Staff_Costs[#Headers],0))*'Per-Participant Activities Arm6'!C56)</f>
        <v>#N/A</v>
      </c>
      <c r="AJ56" s="117" t="e">
        <f t="shared" si="3"/>
        <v>#N/A</v>
      </c>
      <c r="AK56" s="117" t="e">
        <f t="shared" si="3"/>
        <v>#N/A</v>
      </c>
      <c r="AL56" s="117" t="e">
        <f t="shared" si="3"/>
        <v>#N/A</v>
      </c>
      <c r="AM56" s="117" t="e">
        <f t="shared" si="3"/>
        <v>#N/A</v>
      </c>
      <c r="AN56" s="117" t="e">
        <f t="shared" si="3"/>
        <v>#N/A</v>
      </c>
      <c r="AO56" s="107" t="e">
        <f t="shared" si="2"/>
        <v>#N/A</v>
      </c>
      <c r="AP56" s="80"/>
      <c r="AQ56" s="80"/>
      <c r="AR56" s="80"/>
      <c r="AS56" s="80"/>
      <c r="AT56" s="80"/>
      <c r="AU56" s="80"/>
      <c r="AV56" s="80"/>
      <c r="AW56" s="80"/>
      <c r="AX56" s="80"/>
      <c r="AY56" s="80"/>
      <c r="AZ56" s="80"/>
      <c r="BA56" s="80"/>
    </row>
    <row r="57" spans="1:53" s="75" customFormat="1" x14ac:dyDescent="0.25">
      <c r="A57" s="110"/>
      <c r="B57" s="111"/>
      <c r="C57" s="112"/>
      <c r="D57" s="111"/>
      <c r="E57" s="545"/>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116" t="e">
        <f>IF(INDEX(TARIFF_TABLE[#All], MATCH($B57,TARIFF_TABLE[[#All],[Activity]],0),MATCH("ActivityType",TARIFF_TABLE[#Headers]))="Investigation",INDEX(TARIFF_TABLE[#All], MATCH($B57,TARIFF_TABLE[[#All],[Activity]],0),MATCH("Cost",TARIFF_TABLE[#Headers],0)),INDEX(Staff_Costs[#All],MATCH('Per-Participant Activities Arm6'!D57,Staff_Costs[[#All],[Role]],0),MATCH("Per-minute cost",Staff_Costs[#Headers],0))*'Per-Participant Activities Arm6'!C57)</f>
        <v>#N/A</v>
      </c>
      <c r="AJ57" s="117" t="e">
        <f t="shared" si="3"/>
        <v>#N/A</v>
      </c>
      <c r="AK57" s="117" t="e">
        <f t="shared" si="3"/>
        <v>#N/A</v>
      </c>
      <c r="AL57" s="117" t="e">
        <f t="shared" si="3"/>
        <v>#N/A</v>
      </c>
      <c r="AM57" s="117" t="e">
        <f t="shared" si="3"/>
        <v>#N/A</v>
      </c>
      <c r="AN57" s="117" t="e">
        <f t="shared" si="3"/>
        <v>#N/A</v>
      </c>
      <c r="AO57" s="107" t="e">
        <f t="shared" si="2"/>
        <v>#N/A</v>
      </c>
      <c r="AP57" s="80"/>
      <c r="AQ57" s="80"/>
      <c r="AR57" s="80"/>
      <c r="AS57" s="80"/>
      <c r="AT57" s="80"/>
      <c r="AU57" s="80"/>
      <c r="AV57" s="80"/>
      <c r="AW57" s="80"/>
      <c r="AX57" s="80"/>
      <c r="AY57" s="80"/>
      <c r="AZ57" s="80"/>
      <c r="BA57" s="80"/>
    </row>
    <row r="58" spans="1:53" s="75" customFormat="1" x14ac:dyDescent="0.25">
      <c r="A58" s="110"/>
      <c r="B58" s="111"/>
      <c r="C58" s="112"/>
      <c r="D58" s="111"/>
      <c r="E58" s="545"/>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5"/>
      <c r="AI58" s="116" t="e">
        <f>IF(INDEX(TARIFF_TABLE[#All], MATCH($B58,TARIFF_TABLE[[#All],[Activity]],0),MATCH("ActivityType",TARIFF_TABLE[#Headers]))="Investigation",INDEX(TARIFF_TABLE[#All], MATCH($B58,TARIFF_TABLE[[#All],[Activity]],0),MATCH("Cost",TARIFF_TABLE[#Headers],0)),INDEX(Staff_Costs[#All],MATCH('Per-Participant Activities Arm6'!D58,Staff_Costs[[#All],[Role]],0),MATCH("Per-minute cost",Staff_Costs[#Headers],0))*'Per-Participant Activities Arm6'!C58)</f>
        <v>#N/A</v>
      </c>
      <c r="AJ58" s="117" t="e">
        <f t="shared" si="3"/>
        <v>#N/A</v>
      </c>
      <c r="AK58" s="117" t="e">
        <f t="shared" si="3"/>
        <v>#N/A</v>
      </c>
      <c r="AL58" s="117" t="e">
        <f t="shared" si="3"/>
        <v>#N/A</v>
      </c>
      <c r="AM58" s="117" t="e">
        <f t="shared" si="3"/>
        <v>#N/A</v>
      </c>
      <c r="AN58" s="117" t="e">
        <f t="shared" si="3"/>
        <v>#N/A</v>
      </c>
      <c r="AO58" s="107" t="e">
        <f t="shared" si="2"/>
        <v>#N/A</v>
      </c>
      <c r="AP58" s="80"/>
      <c r="AQ58" s="80"/>
      <c r="AR58" s="80"/>
      <c r="AS58" s="80"/>
      <c r="AT58" s="80"/>
      <c r="AU58" s="80"/>
      <c r="AV58" s="80"/>
      <c r="AW58" s="80"/>
      <c r="AX58" s="80"/>
      <c r="AY58" s="80"/>
      <c r="AZ58" s="80"/>
      <c r="BA58" s="80"/>
    </row>
    <row r="59" spans="1:53" s="75" customFormat="1" x14ac:dyDescent="0.25">
      <c r="A59" s="110"/>
      <c r="B59" s="111"/>
      <c r="C59" s="112"/>
      <c r="D59" s="111"/>
      <c r="E59" s="545"/>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5"/>
      <c r="AI59" s="116" t="e">
        <f>IF(INDEX(TARIFF_TABLE[#All], MATCH($B59,TARIFF_TABLE[[#All],[Activity]],0),MATCH("ActivityType",TARIFF_TABLE[#Headers]))="Investigation",INDEX(TARIFF_TABLE[#All], MATCH($B59,TARIFF_TABLE[[#All],[Activity]],0),MATCH("Cost",TARIFF_TABLE[#Headers],0)),INDEX(Staff_Costs[#All],MATCH('Per-Participant Activities Arm6'!D59,Staff_Costs[[#All],[Role]],0),MATCH("Per-minute cost",Staff_Costs[#Headers],0))*'Per-Participant Activities Arm6'!C59)</f>
        <v>#N/A</v>
      </c>
      <c r="AJ59" s="117" t="e">
        <f t="shared" si="3"/>
        <v>#N/A</v>
      </c>
      <c r="AK59" s="117" t="e">
        <f t="shared" si="3"/>
        <v>#N/A</v>
      </c>
      <c r="AL59" s="117" t="e">
        <f t="shared" si="3"/>
        <v>#N/A</v>
      </c>
      <c r="AM59" s="117" t="e">
        <f t="shared" si="3"/>
        <v>#N/A</v>
      </c>
      <c r="AN59" s="117" t="e">
        <f t="shared" si="3"/>
        <v>#N/A</v>
      </c>
      <c r="AO59" s="107" t="e">
        <f t="shared" si="2"/>
        <v>#N/A</v>
      </c>
      <c r="AP59" s="80"/>
      <c r="AQ59" s="80"/>
      <c r="AR59" s="80"/>
      <c r="AS59" s="80"/>
      <c r="AT59" s="80"/>
      <c r="AU59" s="80"/>
      <c r="AV59" s="80"/>
      <c r="AW59" s="80"/>
      <c r="AX59" s="80"/>
      <c r="AY59" s="80"/>
      <c r="AZ59" s="80"/>
      <c r="BA59" s="80"/>
    </row>
    <row r="60" spans="1:53" s="75" customFormat="1" x14ac:dyDescent="0.25">
      <c r="A60" s="110"/>
      <c r="B60" s="111"/>
      <c r="C60" s="112"/>
      <c r="D60" s="111"/>
      <c r="E60" s="54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5"/>
      <c r="AI60" s="116" t="e">
        <f>IF(INDEX(TARIFF_TABLE[#All], MATCH($B60,TARIFF_TABLE[[#All],[Activity]],0),MATCH("ActivityType",TARIFF_TABLE[#Headers]))="Investigation",INDEX(TARIFF_TABLE[#All], MATCH($B60,TARIFF_TABLE[[#All],[Activity]],0),MATCH("Cost",TARIFF_TABLE[#Headers],0)),INDEX(Staff_Costs[#All],MATCH('Per-Participant Activities Arm6'!D60,Staff_Costs[[#All],[Role]],0),MATCH("Per-minute cost",Staff_Costs[#Headers],0))*'Per-Participant Activities Arm6'!C60)</f>
        <v>#N/A</v>
      </c>
      <c r="AJ60" s="117" t="e">
        <f t="shared" si="3"/>
        <v>#N/A</v>
      </c>
      <c r="AK60" s="117" t="e">
        <f t="shared" si="3"/>
        <v>#N/A</v>
      </c>
      <c r="AL60" s="117" t="e">
        <f t="shared" si="3"/>
        <v>#N/A</v>
      </c>
      <c r="AM60" s="117" t="e">
        <f t="shared" si="3"/>
        <v>#N/A</v>
      </c>
      <c r="AN60" s="117" t="e">
        <f t="shared" si="3"/>
        <v>#N/A</v>
      </c>
      <c r="AO60" s="107" t="e">
        <f t="shared" si="2"/>
        <v>#N/A</v>
      </c>
      <c r="AP60" s="80"/>
      <c r="AQ60" s="80"/>
      <c r="AR60" s="80"/>
      <c r="AS60" s="80"/>
      <c r="AT60" s="80"/>
      <c r="AU60" s="80"/>
      <c r="AV60" s="80"/>
      <c r="AW60" s="80"/>
      <c r="AX60" s="80"/>
      <c r="AY60" s="80"/>
      <c r="AZ60" s="80"/>
      <c r="BA60" s="80"/>
    </row>
    <row r="61" spans="1:53" s="75" customFormat="1" x14ac:dyDescent="0.25">
      <c r="A61" s="110"/>
      <c r="B61" s="111"/>
      <c r="C61" s="112"/>
      <c r="D61" s="111"/>
      <c r="E61" s="54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5"/>
      <c r="AI61" s="116" t="e">
        <f>IF(INDEX(TARIFF_TABLE[#All], MATCH($B61,TARIFF_TABLE[[#All],[Activity]],0),MATCH("ActivityType",TARIFF_TABLE[#Headers]))="Investigation",INDEX(TARIFF_TABLE[#All], MATCH($B61,TARIFF_TABLE[[#All],[Activity]],0),MATCH("Cost",TARIFF_TABLE[#Headers],0)),INDEX(Staff_Costs[#All],MATCH('Per-Participant Activities Arm6'!D61,Staff_Costs[[#All],[Role]],0),MATCH("Per-minute cost",Staff_Costs[#Headers],0))*'Per-Participant Activities Arm6'!C61)</f>
        <v>#N/A</v>
      </c>
      <c r="AJ61" s="117" t="e">
        <f t="shared" si="3"/>
        <v>#N/A</v>
      </c>
      <c r="AK61" s="117" t="e">
        <f t="shared" si="3"/>
        <v>#N/A</v>
      </c>
      <c r="AL61" s="117" t="e">
        <f t="shared" si="3"/>
        <v>#N/A</v>
      </c>
      <c r="AM61" s="117" t="e">
        <f t="shared" si="3"/>
        <v>#N/A</v>
      </c>
      <c r="AN61" s="117" t="e">
        <f t="shared" si="3"/>
        <v>#N/A</v>
      </c>
      <c r="AO61" s="107" t="e">
        <f t="shared" si="2"/>
        <v>#N/A</v>
      </c>
      <c r="AP61" s="80"/>
      <c r="AQ61" s="80"/>
      <c r="AR61" s="80"/>
      <c r="AS61" s="80"/>
      <c r="AT61" s="80"/>
      <c r="AU61" s="80"/>
      <c r="AV61" s="80"/>
      <c r="AW61" s="80"/>
      <c r="AX61" s="80"/>
      <c r="AY61" s="80"/>
      <c r="AZ61" s="80"/>
      <c r="BA61" s="80"/>
    </row>
    <row r="62" spans="1:53" s="75" customFormat="1" x14ac:dyDescent="0.25">
      <c r="A62" s="110"/>
      <c r="B62" s="111"/>
      <c r="C62" s="112"/>
      <c r="D62" s="111"/>
      <c r="E62" s="545"/>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5"/>
      <c r="AI62" s="116" t="e">
        <f>IF(INDEX(TARIFF_TABLE[#All], MATCH($B62,TARIFF_TABLE[[#All],[Activity]],0),MATCH("ActivityType",TARIFF_TABLE[#Headers]))="Investigation",INDEX(TARIFF_TABLE[#All], MATCH($B62,TARIFF_TABLE[[#All],[Activity]],0),MATCH("Cost",TARIFF_TABLE[#Headers],0)),INDEX(Staff_Costs[#All],MATCH('Per-Participant Activities Arm6'!D62,Staff_Costs[[#All],[Role]],0),MATCH("Per-minute cost",Staff_Costs[#Headers],0))*'Per-Participant Activities Arm6'!C62)</f>
        <v>#N/A</v>
      </c>
      <c r="AJ62" s="117" t="e">
        <f t="shared" si="3"/>
        <v>#N/A</v>
      </c>
      <c r="AK62" s="117" t="e">
        <f t="shared" si="3"/>
        <v>#N/A</v>
      </c>
      <c r="AL62" s="117" t="e">
        <f t="shared" si="3"/>
        <v>#N/A</v>
      </c>
      <c r="AM62" s="117" t="e">
        <f t="shared" si="3"/>
        <v>#N/A</v>
      </c>
      <c r="AN62" s="117" t="e">
        <f t="shared" si="3"/>
        <v>#N/A</v>
      </c>
      <c r="AO62" s="107" t="e">
        <f t="shared" si="2"/>
        <v>#N/A</v>
      </c>
      <c r="AP62" s="80"/>
      <c r="AQ62" s="80"/>
      <c r="AR62" s="80"/>
      <c r="AS62" s="80"/>
      <c r="AT62" s="80"/>
      <c r="AU62" s="80"/>
      <c r="AV62" s="80"/>
      <c r="AW62" s="80"/>
      <c r="AX62" s="80"/>
      <c r="AY62" s="80"/>
      <c r="AZ62" s="80"/>
      <c r="BA62" s="80"/>
    </row>
    <row r="63" spans="1:53" s="75" customFormat="1" x14ac:dyDescent="0.25">
      <c r="A63" s="110"/>
      <c r="B63" s="111"/>
      <c r="C63" s="112"/>
      <c r="D63" s="111"/>
      <c r="E63" s="545"/>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5"/>
      <c r="AI63" s="116" t="e">
        <f>IF(INDEX(TARIFF_TABLE[#All], MATCH($B63,TARIFF_TABLE[[#All],[Activity]],0),MATCH("ActivityType",TARIFF_TABLE[#Headers]))="Investigation",INDEX(TARIFF_TABLE[#All], MATCH($B63,TARIFF_TABLE[[#All],[Activity]],0),MATCH("Cost",TARIFF_TABLE[#Headers],0)),INDEX(Staff_Costs[#All],MATCH('Per-Participant Activities Arm6'!D63,Staff_Costs[[#All],[Role]],0),MATCH("Per-minute cost",Staff_Costs[#Headers],0))*'Per-Participant Activities Arm6'!C63)</f>
        <v>#N/A</v>
      </c>
      <c r="AJ63" s="117" t="e">
        <f t="shared" si="3"/>
        <v>#N/A</v>
      </c>
      <c r="AK63" s="117" t="e">
        <f t="shared" si="3"/>
        <v>#N/A</v>
      </c>
      <c r="AL63" s="117" t="e">
        <f t="shared" si="3"/>
        <v>#N/A</v>
      </c>
      <c r="AM63" s="117" t="e">
        <f t="shared" si="3"/>
        <v>#N/A</v>
      </c>
      <c r="AN63" s="117" t="e">
        <f t="shared" si="3"/>
        <v>#N/A</v>
      </c>
      <c r="AO63" s="107" t="e">
        <f t="shared" si="2"/>
        <v>#N/A</v>
      </c>
      <c r="AP63" s="80"/>
      <c r="AQ63" s="80"/>
      <c r="AR63" s="80"/>
      <c r="AS63" s="80"/>
      <c r="AT63" s="80"/>
      <c r="AU63" s="80"/>
      <c r="AV63" s="80"/>
      <c r="AW63" s="80"/>
      <c r="AX63" s="80"/>
      <c r="AY63" s="80"/>
      <c r="AZ63" s="80"/>
      <c r="BA63" s="80"/>
    </row>
    <row r="64" spans="1:53" s="75" customFormat="1" x14ac:dyDescent="0.25">
      <c r="A64" s="120"/>
      <c r="B64" s="111"/>
      <c r="C64" s="112"/>
      <c r="D64" s="118"/>
      <c r="E64" s="545"/>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15"/>
      <c r="AI64" s="116" t="e">
        <f>IF(INDEX(TARIFF_TABLE[#All], MATCH($B64,TARIFF_TABLE[[#All],[Activity]],0),MATCH("ActivityType",TARIFF_TABLE[#Headers]))="Investigation",INDEX(TARIFF_TABLE[#All], MATCH($B64,TARIFF_TABLE[[#All],[Activity]],0),MATCH("Cost",TARIFF_TABLE[#Headers],0)),INDEX(Staff_Costs[#All],MATCH('Per-Participant Activities Arm6'!D64,Staff_Costs[[#All],[Role]],0),MATCH("Per-minute cost",Staff_Costs[#Headers],0))*'Per-Participant Activities Arm6'!C64)</f>
        <v>#N/A</v>
      </c>
      <c r="AJ64" s="117" t="e">
        <f t="shared" si="3"/>
        <v>#N/A</v>
      </c>
      <c r="AK64" s="117" t="e">
        <f t="shared" si="3"/>
        <v>#N/A</v>
      </c>
      <c r="AL64" s="117" t="e">
        <f t="shared" si="3"/>
        <v>#N/A</v>
      </c>
      <c r="AM64" s="117" t="e">
        <f t="shared" si="3"/>
        <v>#N/A</v>
      </c>
      <c r="AN64" s="117" t="e">
        <f t="shared" si="3"/>
        <v>#N/A</v>
      </c>
      <c r="AO64" s="107" t="e">
        <f t="shared" si="2"/>
        <v>#N/A</v>
      </c>
      <c r="AP64" s="80"/>
      <c r="AQ64" s="80"/>
      <c r="AR64" s="80"/>
      <c r="AS64" s="80"/>
      <c r="AT64" s="80"/>
      <c r="AU64" s="80"/>
      <c r="AV64" s="80"/>
      <c r="AW64" s="80"/>
      <c r="AX64" s="80"/>
      <c r="AY64" s="80"/>
      <c r="AZ64" s="80"/>
      <c r="BA64" s="80"/>
    </row>
    <row r="65" spans="1:53" x14ac:dyDescent="0.25">
      <c r="A65" s="120"/>
      <c r="B65" s="111"/>
      <c r="C65" s="112"/>
      <c r="D65" s="118"/>
      <c r="E65" s="545"/>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15"/>
      <c r="AI65" s="116" t="e">
        <f>IF(INDEX(TARIFF_TABLE[#All], MATCH($B65,TARIFF_TABLE[[#All],[Activity]],0),MATCH("ActivityType",TARIFF_TABLE[#Headers]))="Investigation",INDEX(TARIFF_TABLE[#All], MATCH($B65,TARIFF_TABLE[[#All],[Activity]],0),MATCH("Cost",TARIFF_TABLE[#Headers],0)),INDEX(Staff_Costs[#All],MATCH('Per-Participant Activities Arm6'!D65,Staff_Costs[[#All],[Role]],0),MATCH("Per-minute cost",Staff_Costs[#Headers],0))*'Per-Participant Activities Arm6'!C65)</f>
        <v>#N/A</v>
      </c>
      <c r="AJ65" s="117" t="e">
        <f t="shared" si="3"/>
        <v>#N/A</v>
      </c>
      <c r="AK65" s="117" t="e">
        <f t="shared" si="3"/>
        <v>#N/A</v>
      </c>
      <c r="AL65" s="117" t="e">
        <f t="shared" si="3"/>
        <v>#N/A</v>
      </c>
      <c r="AM65" s="117" t="e">
        <f t="shared" si="3"/>
        <v>#N/A</v>
      </c>
      <c r="AN65" s="117" t="e">
        <f t="shared" si="3"/>
        <v>#N/A</v>
      </c>
      <c r="AO65" s="479" t="e">
        <f>INDEX('Tariff (hidden)'!$B$4:$B$133,MATCH(B65,'Tariff (hidden)'!$A$4:$A$133,0))</f>
        <v>#N/A</v>
      </c>
      <c r="AP65" s="18"/>
      <c r="AQ65" s="18"/>
      <c r="AR65" s="18"/>
      <c r="AS65" s="18"/>
      <c r="AT65" s="18"/>
      <c r="AU65" s="18"/>
      <c r="AV65" s="18"/>
      <c r="AW65" s="18"/>
      <c r="AX65" s="18"/>
      <c r="AY65" s="18"/>
      <c r="AZ65" s="18"/>
      <c r="BA65" s="18"/>
    </row>
    <row r="66" spans="1:53" x14ac:dyDescent="0.25">
      <c r="A66" s="120"/>
      <c r="B66" s="111"/>
      <c r="C66" s="112"/>
      <c r="D66" s="118"/>
      <c r="E66" s="545"/>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15"/>
      <c r="AI66" s="116" t="e">
        <f>IF(INDEX(TARIFF_TABLE[#All], MATCH($B66,TARIFF_TABLE[[#All],[Activity]],0),MATCH("ActivityType",TARIFF_TABLE[#Headers]))="Investigation",INDEX(TARIFF_TABLE[#All], MATCH($B66,TARIFF_TABLE[[#All],[Activity]],0),MATCH("Cost",TARIFF_TABLE[#Headers],0)),INDEX(Staff_Costs[#All],MATCH('Per-Participant Activities Arm6'!D66,Staff_Costs[[#All],[Role]],0),MATCH("Per-minute cost",Staff_Costs[#Headers],0))*'Per-Participant Activities Arm6'!C66)</f>
        <v>#N/A</v>
      </c>
      <c r="AJ66" s="117" t="e">
        <f t="shared" ref="AJ66:AN110" si="4">COUNTIF($F66:$AH66, AJ$8)*$AI66</f>
        <v>#N/A</v>
      </c>
      <c r="AK66" s="117" t="e">
        <f t="shared" si="4"/>
        <v>#N/A</v>
      </c>
      <c r="AL66" s="117" t="e">
        <f t="shared" si="4"/>
        <v>#N/A</v>
      </c>
      <c r="AM66" s="117" t="e">
        <f t="shared" si="4"/>
        <v>#N/A</v>
      </c>
      <c r="AN66" s="117" t="e">
        <f t="shared" si="4"/>
        <v>#N/A</v>
      </c>
      <c r="AO66" s="479" t="e">
        <f>INDEX('Tariff (hidden)'!$B$4:$B$133,MATCH(B66,'Tariff (hidden)'!$A$4:$A$133,0))</f>
        <v>#N/A</v>
      </c>
      <c r="AP66" s="6"/>
      <c r="AQ66" s="6"/>
      <c r="AR66" s="6"/>
      <c r="AS66" s="6"/>
      <c r="AT66" s="6"/>
      <c r="AU66" s="6"/>
      <c r="AV66" s="6"/>
      <c r="AW66" s="6"/>
      <c r="AX66" s="6"/>
      <c r="AY66" s="6"/>
      <c r="AZ66" s="6"/>
      <c r="BA66" s="6"/>
    </row>
    <row r="67" spans="1:53" x14ac:dyDescent="0.25">
      <c r="A67" s="120"/>
      <c r="B67" s="111"/>
      <c r="C67" s="112"/>
      <c r="D67" s="118"/>
      <c r="E67" s="545"/>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15"/>
      <c r="AI67" s="116" t="e">
        <f>IF(INDEX(TARIFF_TABLE[#All], MATCH($B67,TARIFF_TABLE[[#All],[Activity]],0),MATCH("ActivityType",TARIFF_TABLE[#Headers]))="Investigation",INDEX(TARIFF_TABLE[#All], MATCH($B67,TARIFF_TABLE[[#All],[Activity]],0),MATCH("Cost",TARIFF_TABLE[#Headers],0)),INDEX(Staff_Costs[#All],MATCH('Per-Participant Activities Arm6'!D67,Staff_Costs[[#All],[Role]],0),MATCH("Per-minute cost",Staff_Costs[#Headers],0))*'Per-Participant Activities Arm6'!C67)</f>
        <v>#N/A</v>
      </c>
      <c r="AJ67" s="117" t="e">
        <f t="shared" si="4"/>
        <v>#N/A</v>
      </c>
      <c r="AK67" s="117" t="e">
        <f t="shared" si="4"/>
        <v>#N/A</v>
      </c>
      <c r="AL67" s="117" t="e">
        <f t="shared" si="4"/>
        <v>#N/A</v>
      </c>
      <c r="AM67" s="117" t="e">
        <f t="shared" si="4"/>
        <v>#N/A</v>
      </c>
      <c r="AN67" s="117" t="e">
        <f t="shared" si="4"/>
        <v>#N/A</v>
      </c>
      <c r="AO67" s="479" t="e">
        <f>INDEX('Tariff (hidden)'!$B$4:$B$133,MATCH(B67,'Tariff (hidden)'!$A$4:$A$133,0))</f>
        <v>#N/A</v>
      </c>
      <c r="AP67" s="6"/>
      <c r="AQ67" s="6"/>
      <c r="AR67" s="6"/>
      <c r="AS67" s="6"/>
      <c r="AT67" s="6"/>
      <c r="AU67" s="6"/>
      <c r="AV67" s="6"/>
      <c r="AW67" s="6"/>
      <c r="AX67" s="6"/>
      <c r="AY67" s="6"/>
      <c r="AZ67" s="6"/>
      <c r="BA67" s="6"/>
    </row>
    <row r="68" spans="1:53" x14ac:dyDescent="0.25">
      <c r="A68" s="120"/>
      <c r="B68" s="111"/>
      <c r="C68" s="112"/>
      <c r="D68" s="118"/>
      <c r="E68" s="545"/>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15"/>
      <c r="AI68" s="116" t="e">
        <f>IF(INDEX(TARIFF_TABLE[#All], MATCH($B68,TARIFF_TABLE[[#All],[Activity]],0),MATCH("ActivityType",TARIFF_TABLE[#Headers]))="Investigation",INDEX(TARIFF_TABLE[#All], MATCH($B68,TARIFF_TABLE[[#All],[Activity]],0),MATCH("Cost",TARIFF_TABLE[#Headers],0)),INDEX(Staff_Costs[#All],MATCH('Per-Participant Activities Arm6'!D68,Staff_Costs[[#All],[Role]],0),MATCH("Per-minute cost",Staff_Costs[#Headers],0))*'Per-Participant Activities Arm6'!C68)</f>
        <v>#N/A</v>
      </c>
      <c r="AJ68" s="117" t="e">
        <f t="shared" si="4"/>
        <v>#N/A</v>
      </c>
      <c r="AK68" s="117" t="e">
        <f t="shared" si="4"/>
        <v>#N/A</v>
      </c>
      <c r="AL68" s="117" t="e">
        <f t="shared" si="4"/>
        <v>#N/A</v>
      </c>
      <c r="AM68" s="117" t="e">
        <f t="shared" si="4"/>
        <v>#N/A</v>
      </c>
      <c r="AN68" s="117" t="e">
        <f t="shared" si="4"/>
        <v>#N/A</v>
      </c>
      <c r="AO68" s="479" t="e">
        <f>INDEX('Tariff (hidden)'!$B$4:$B$133,MATCH(B68,'Tariff (hidden)'!$A$4:$A$133,0))</f>
        <v>#N/A</v>
      </c>
    </row>
    <row r="69" spans="1:53" x14ac:dyDescent="0.25">
      <c r="A69" s="120"/>
      <c r="B69" s="111"/>
      <c r="C69" s="112"/>
      <c r="D69" s="118"/>
      <c r="E69" s="545"/>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15"/>
      <c r="AI69" s="116" t="e">
        <f>IF(INDEX(TARIFF_TABLE[#All], MATCH($B69,TARIFF_TABLE[[#All],[Activity]],0),MATCH("ActivityType",TARIFF_TABLE[#Headers]))="Investigation",INDEX(TARIFF_TABLE[#All], MATCH($B69,TARIFF_TABLE[[#All],[Activity]],0),MATCH("Cost",TARIFF_TABLE[#Headers],0)),INDEX(Staff_Costs[#All],MATCH('Per-Participant Activities Arm6'!D69,Staff_Costs[[#All],[Role]],0),MATCH("Per-minute cost",Staff_Costs[#Headers],0))*'Per-Participant Activities Arm6'!C69)</f>
        <v>#N/A</v>
      </c>
      <c r="AJ69" s="117" t="e">
        <f t="shared" si="4"/>
        <v>#N/A</v>
      </c>
      <c r="AK69" s="117" t="e">
        <f t="shared" si="4"/>
        <v>#N/A</v>
      </c>
      <c r="AL69" s="117" t="e">
        <f t="shared" si="4"/>
        <v>#N/A</v>
      </c>
      <c r="AM69" s="117" t="e">
        <f t="shared" si="4"/>
        <v>#N/A</v>
      </c>
      <c r="AN69" s="117" t="e">
        <f t="shared" si="4"/>
        <v>#N/A</v>
      </c>
      <c r="AO69" s="479" t="e">
        <f>INDEX('Tariff (hidden)'!$B$4:$B$133,MATCH(B69,'Tariff (hidden)'!$A$4:$A$133,0))</f>
        <v>#N/A</v>
      </c>
    </row>
    <row r="70" spans="1:53" x14ac:dyDescent="0.25">
      <c r="A70" s="120"/>
      <c r="B70" s="111"/>
      <c r="C70" s="112"/>
      <c r="D70" s="118"/>
      <c r="E70" s="545"/>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15"/>
      <c r="AI70" s="116" t="e">
        <f>IF(INDEX(TARIFF_TABLE[#All], MATCH($B70,TARIFF_TABLE[[#All],[Activity]],0),MATCH("ActivityType",TARIFF_TABLE[#Headers]))="Investigation",INDEX(TARIFF_TABLE[#All], MATCH($B70,TARIFF_TABLE[[#All],[Activity]],0),MATCH("Cost",TARIFF_TABLE[#Headers],0)),INDEX(Staff_Costs[#All],MATCH('Per-Participant Activities Arm6'!D70,Staff_Costs[[#All],[Role]],0),MATCH("Per-minute cost",Staff_Costs[#Headers],0))*'Per-Participant Activities Arm6'!C70)</f>
        <v>#N/A</v>
      </c>
      <c r="AJ70" s="117" t="e">
        <f t="shared" si="4"/>
        <v>#N/A</v>
      </c>
      <c r="AK70" s="117" t="e">
        <f t="shared" si="4"/>
        <v>#N/A</v>
      </c>
      <c r="AL70" s="117" t="e">
        <f t="shared" si="4"/>
        <v>#N/A</v>
      </c>
      <c r="AM70" s="117" t="e">
        <f t="shared" si="4"/>
        <v>#N/A</v>
      </c>
      <c r="AN70" s="117" t="e">
        <f t="shared" si="4"/>
        <v>#N/A</v>
      </c>
      <c r="AO70" s="479" t="e">
        <f>INDEX('Tariff (hidden)'!$B$4:$B$133,MATCH(B70,'Tariff (hidden)'!$A$4:$A$133,0))</f>
        <v>#N/A</v>
      </c>
    </row>
    <row r="71" spans="1:53" x14ac:dyDescent="0.25">
      <c r="A71" s="120"/>
      <c r="B71" s="111"/>
      <c r="C71" s="112"/>
      <c r="D71" s="118"/>
      <c r="E71" s="545"/>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15"/>
      <c r="AI71" s="116" t="e">
        <f>IF(INDEX(TARIFF_TABLE[#All], MATCH($B71,TARIFF_TABLE[[#All],[Activity]],0),MATCH("ActivityType",TARIFF_TABLE[#Headers]))="Investigation",INDEX(TARIFF_TABLE[#All], MATCH($B71,TARIFF_TABLE[[#All],[Activity]],0),MATCH("Cost",TARIFF_TABLE[#Headers],0)),INDEX(Staff_Costs[#All],MATCH('Per-Participant Activities Arm6'!D71,Staff_Costs[[#All],[Role]],0),MATCH("Per-minute cost",Staff_Costs[#Headers],0))*'Per-Participant Activities Arm6'!C71)</f>
        <v>#N/A</v>
      </c>
      <c r="AJ71" s="117" t="e">
        <f t="shared" si="4"/>
        <v>#N/A</v>
      </c>
      <c r="AK71" s="117" t="e">
        <f t="shared" si="4"/>
        <v>#N/A</v>
      </c>
      <c r="AL71" s="117" t="e">
        <f t="shared" si="4"/>
        <v>#N/A</v>
      </c>
      <c r="AM71" s="117" t="e">
        <f t="shared" si="4"/>
        <v>#N/A</v>
      </c>
      <c r="AN71" s="117" t="e">
        <f t="shared" si="4"/>
        <v>#N/A</v>
      </c>
      <c r="AO71" s="479" t="e">
        <f>INDEX('Tariff (hidden)'!$B$4:$B$133,MATCH(B71,'Tariff (hidden)'!$A$4:$A$133,0))</f>
        <v>#N/A</v>
      </c>
    </row>
    <row r="72" spans="1:53" x14ac:dyDescent="0.25">
      <c r="A72" s="120"/>
      <c r="B72" s="111"/>
      <c r="C72" s="112"/>
      <c r="D72" s="118"/>
      <c r="E72" s="545"/>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15"/>
      <c r="AI72" s="116" t="e">
        <f>IF(INDEX(TARIFF_TABLE[#All], MATCH($B72,TARIFF_TABLE[[#All],[Activity]],0),MATCH("ActivityType",TARIFF_TABLE[#Headers]))="Investigation",INDEX(TARIFF_TABLE[#All], MATCH($B72,TARIFF_TABLE[[#All],[Activity]],0),MATCH("Cost",TARIFF_TABLE[#Headers],0)),INDEX(Staff_Costs[#All],MATCH('Per-Participant Activities Arm6'!D72,Staff_Costs[[#All],[Role]],0),MATCH("Per-minute cost",Staff_Costs[#Headers],0))*'Per-Participant Activities Arm6'!C72)</f>
        <v>#N/A</v>
      </c>
      <c r="AJ72" s="117" t="e">
        <f t="shared" si="4"/>
        <v>#N/A</v>
      </c>
      <c r="AK72" s="117" t="e">
        <f t="shared" si="4"/>
        <v>#N/A</v>
      </c>
      <c r="AL72" s="117" t="e">
        <f t="shared" si="4"/>
        <v>#N/A</v>
      </c>
      <c r="AM72" s="117" t="e">
        <f t="shared" si="4"/>
        <v>#N/A</v>
      </c>
      <c r="AN72" s="117" t="e">
        <f t="shared" si="4"/>
        <v>#N/A</v>
      </c>
      <c r="AO72" s="479" t="e">
        <f>INDEX('Tariff (hidden)'!$B$4:$B$133,MATCH(B72,'Tariff (hidden)'!$A$4:$A$133,0))</f>
        <v>#N/A</v>
      </c>
    </row>
    <row r="73" spans="1:53" x14ac:dyDescent="0.25">
      <c r="A73" s="120"/>
      <c r="B73" s="111"/>
      <c r="C73" s="112"/>
      <c r="D73" s="118"/>
      <c r="E73" s="545"/>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15"/>
      <c r="AI73" s="116" t="e">
        <f>IF(INDEX(TARIFF_TABLE[#All], MATCH($B73,TARIFF_TABLE[[#All],[Activity]],0),MATCH("ActivityType",TARIFF_TABLE[#Headers]))="Investigation",INDEX(TARIFF_TABLE[#All], MATCH($B73,TARIFF_TABLE[[#All],[Activity]],0),MATCH("Cost",TARIFF_TABLE[#Headers],0)),INDEX(Staff_Costs[#All],MATCH('Per-Participant Activities Arm6'!D73,Staff_Costs[[#All],[Role]],0),MATCH("Per-minute cost",Staff_Costs[#Headers],0))*'Per-Participant Activities Arm6'!C73)</f>
        <v>#N/A</v>
      </c>
      <c r="AJ73" s="117" t="e">
        <f t="shared" si="4"/>
        <v>#N/A</v>
      </c>
      <c r="AK73" s="117" t="e">
        <f t="shared" si="4"/>
        <v>#N/A</v>
      </c>
      <c r="AL73" s="117" t="e">
        <f t="shared" si="4"/>
        <v>#N/A</v>
      </c>
      <c r="AM73" s="117" t="e">
        <f t="shared" si="4"/>
        <v>#N/A</v>
      </c>
      <c r="AN73" s="117" t="e">
        <f t="shared" si="4"/>
        <v>#N/A</v>
      </c>
      <c r="AO73" s="479" t="e">
        <f>INDEX('Tariff (hidden)'!$B$4:$B$133,MATCH(B73,'Tariff (hidden)'!$A$4:$A$133,0))</f>
        <v>#N/A</v>
      </c>
    </row>
    <row r="74" spans="1:53" x14ac:dyDescent="0.25">
      <c r="A74" s="120"/>
      <c r="B74" s="111"/>
      <c r="C74" s="112"/>
      <c r="D74" s="118"/>
      <c r="E74" s="545"/>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15"/>
      <c r="AI74" s="116" t="e">
        <f>IF(INDEX(TARIFF_TABLE[#All], MATCH($B74,TARIFF_TABLE[[#All],[Activity]],0),MATCH("ActivityType",TARIFF_TABLE[#Headers]))="Investigation",INDEX(TARIFF_TABLE[#All], MATCH($B74,TARIFF_TABLE[[#All],[Activity]],0),MATCH("Cost",TARIFF_TABLE[#Headers],0)),INDEX(Staff_Costs[#All],MATCH('Per-Participant Activities Arm6'!D74,Staff_Costs[[#All],[Role]],0),MATCH("Per-minute cost",Staff_Costs[#Headers],0))*'Per-Participant Activities Arm6'!C74)</f>
        <v>#N/A</v>
      </c>
      <c r="AJ74" s="117" t="e">
        <f t="shared" si="4"/>
        <v>#N/A</v>
      </c>
      <c r="AK74" s="117" t="e">
        <f t="shared" si="4"/>
        <v>#N/A</v>
      </c>
      <c r="AL74" s="117" t="e">
        <f t="shared" si="4"/>
        <v>#N/A</v>
      </c>
      <c r="AM74" s="117" t="e">
        <f t="shared" si="4"/>
        <v>#N/A</v>
      </c>
      <c r="AN74" s="117" t="e">
        <f t="shared" si="4"/>
        <v>#N/A</v>
      </c>
      <c r="AO74" s="479" t="e">
        <f>INDEX('Tariff (hidden)'!$B$4:$B$133,MATCH(B74,'Tariff (hidden)'!$A$4:$A$133,0))</f>
        <v>#N/A</v>
      </c>
    </row>
    <row r="75" spans="1:53" x14ac:dyDescent="0.25">
      <c r="A75" s="120"/>
      <c r="B75" s="111"/>
      <c r="C75" s="112"/>
      <c r="D75" s="118"/>
      <c r="E75" s="545"/>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15"/>
      <c r="AI75" s="116" t="e">
        <f>IF(INDEX(TARIFF_TABLE[#All], MATCH($B75,TARIFF_TABLE[[#All],[Activity]],0),MATCH("ActivityType",TARIFF_TABLE[#Headers]))="Investigation",INDEX(TARIFF_TABLE[#All], MATCH($B75,TARIFF_TABLE[[#All],[Activity]],0),MATCH("Cost",TARIFF_TABLE[#Headers],0)),INDEX(Staff_Costs[#All],MATCH('Per-Participant Activities Arm6'!D75,Staff_Costs[[#All],[Role]],0),MATCH("Per-minute cost",Staff_Costs[#Headers],0))*'Per-Participant Activities Arm6'!C75)</f>
        <v>#N/A</v>
      </c>
      <c r="AJ75" s="117" t="e">
        <f t="shared" si="4"/>
        <v>#N/A</v>
      </c>
      <c r="AK75" s="117" t="e">
        <f t="shared" si="4"/>
        <v>#N/A</v>
      </c>
      <c r="AL75" s="117" t="e">
        <f t="shared" si="4"/>
        <v>#N/A</v>
      </c>
      <c r="AM75" s="117" t="e">
        <f t="shared" si="4"/>
        <v>#N/A</v>
      </c>
      <c r="AN75" s="117" t="e">
        <f t="shared" si="4"/>
        <v>#N/A</v>
      </c>
      <c r="AO75" s="479" t="e">
        <f>INDEX('Tariff (hidden)'!$B$4:$B$133,MATCH(B75,'Tariff (hidden)'!$A$4:$A$133,0))</f>
        <v>#N/A</v>
      </c>
    </row>
    <row r="76" spans="1:53" x14ac:dyDescent="0.25">
      <c r="A76" s="120"/>
      <c r="B76" s="111"/>
      <c r="C76" s="112"/>
      <c r="D76" s="118"/>
      <c r="E76" s="545"/>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15"/>
      <c r="AI76" s="116" t="e">
        <f>IF(INDEX(TARIFF_TABLE[#All], MATCH($B76,TARIFF_TABLE[[#All],[Activity]],0),MATCH("ActivityType",TARIFF_TABLE[#Headers]))="Investigation",INDEX(TARIFF_TABLE[#All], MATCH($B76,TARIFF_TABLE[[#All],[Activity]],0),MATCH("Cost",TARIFF_TABLE[#Headers],0)),INDEX(Staff_Costs[#All],MATCH('Per-Participant Activities Arm6'!D76,Staff_Costs[[#All],[Role]],0),MATCH("Per-minute cost",Staff_Costs[#Headers],0))*'Per-Participant Activities Arm6'!C76)</f>
        <v>#N/A</v>
      </c>
      <c r="AJ76" s="117" t="e">
        <f t="shared" si="4"/>
        <v>#N/A</v>
      </c>
      <c r="AK76" s="117" t="e">
        <f t="shared" si="4"/>
        <v>#N/A</v>
      </c>
      <c r="AL76" s="117" t="e">
        <f t="shared" si="4"/>
        <v>#N/A</v>
      </c>
      <c r="AM76" s="117" t="e">
        <f t="shared" si="4"/>
        <v>#N/A</v>
      </c>
      <c r="AN76" s="117" t="e">
        <f t="shared" si="4"/>
        <v>#N/A</v>
      </c>
      <c r="AO76" s="479" t="e">
        <f>INDEX('Tariff (hidden)'!$B$4:$B$133,MATCH(B76,'Tariff (hidden)'!$A$4:$A$133,0))</f>
        <v>#N/A</v>
      </c>
    </row>
    <row r="77" spans="1:53" x14ac:dyDescent="0.25">
      <c r="A77" s="120"/>
      <c r="B77" s="111"/>
      <c r="C77" s="112"/>
      <c r="D77" s="118"/>
      <c r="E77" s="545"/>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15"/>
      <c r="AI77" s="116" t="e">
        <f>IF(INDEX(TARIFF_TABLE[#All], MATCH($B77,TARIFF_TABLE[[#All],[Activity]],0),MATCH("ActivityType",TARIFF_TABLE[#Headers]))="Investigation",INDEX(TARIFF_TABLE[#All], MATCH($B77,TARIFF_TABLE[[#All],[Activity]],0),MATCH("Cost",TARIFF_TABLE[#Headers],0)),INDEX(Staff_Costs[#All],MATCH('Per-Participant Activities Arm6'!D77,Staff_Costs[[#All],[Role]],0),MATCH("Per-minute cost",Staff_Costs[#Headers],0))*'Per-Participant Activities Arm6'!C77)</f>
        <v>#N/A</v>
      </c>
      <c r="AJ77" s="117" t="e">
        <f t="shared" si="4"/>
        <v>#N/A</v>
      </c>
      <c r="AK77" s="117" t="e">
        <f t="shared" si="4"/>
        <v>#N/A</v>
      </c>
      <c r="AL77" s="117" t="e">
        <f t="shared" si="4"/>
        <v>#N/A</v>
      </c>
      <c r="AM77" s="117" t="e">
        <f t="shared" si="4"/>
        <v>#N/A</v>
      </c>
      <c r="AN77" s="117" t="e">
        <f t="shared" si="4"/>
        <v>#N/A</v>
      </c>
      <c r="AO77" s="479" t="e">
        <f>INDEX('Tariff (hidden)'!$B$4:$B$133,MATCH(B77,'Tariff (hidden)'!$A$4:$A$133,0))</f>
        <v>#N/A</v>
      </c>
    </row>
    <row r="78" spans="1:53" x14ac:dyDescent="0.25">
      <c r="A78" s="120"/>
      <c r="B78" s="111"/>
      <c r="C78" s="112"/>
      <c r="D78" s="118"/>
      <c r="E78" s="545"/>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15"/>
      <c r="AI78" s="116" t="e">
        <f>IF(INDEX(TARIFF_TABLE[#All], MATCH($B78,TARIFF_TABLE[[#All],[Activity]],0),MATCH("ActivityType",TARIFF_TABLE[#Headers]))="Investigation",INDEX(TARIFF_TABLE[#All], MATCH($B78,TARIFF_TABLE[[#All],[Activity]],0),MATCH("Cost",TARIFF_TABLE[#Headers],0)),INDEX(Staff_Costs[#All],MATCH('Per-Participant Activities Arm6'!D78,Staff_Costs[[#All],[Role]],0),MATCH("Per-minute cost",Staff_Costs[#Headers],0))*'Per-Participant Activities Arm6'!C78)</f>
        <v>#N/A</v>
      </c>
      <c r="AJ78" s="117" t="e">
        <f t="shared" si="4"/>
        <v>#N/A</v>
      </c>
      <c r="AK78" s="117" t="e">
        <f t="shared" si="4"/>
        <v>#N/A</v>
      </c>
      <c r="AL78" s="117" t="e">
        <f t="shared" si="4"/>
        <v>#N/A</v>
      </c>
      <c r="AM78" s="117" t="e">
        <f t="shared" si="4"/>
        <v>#N/A</v>
      </c>
      <c r="AN78" s="117" t="e">
        <f t="shared" si="4"/>
        <v>#N/A</v>
      </c>
      <c r="AO78" s="479" t="e">
        <f>INDEX('Tariff (hidden)'!$B$4:$B$133,MATCH(B78,'Tariff (hidden)'!$A$4:$A$133,0))</f>
        <v>#N/A</v>
      </c>
    </row>
    <row r="79" spans="1:53" x14ac:dyDescent="0.25">
      <c r="A79" s="120"/>
      <c r="B79" s="111"/>
      <c r="C79" s="112"/>
      <c r="D79" s="118"/>
      <c r="E79" s="545"/>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15"/>
      <c r="AI79" s="116" t="e">
        <f>IF(INDEX(TARIFF_TABLE[#All], MATCH($B79,TARIFF_TABLE[[#All],[Activity]],0),MATCH("ActivityType",TARIFF_TABLE[#Headers]))="Investigation",INDEX(TARIFF_TABLE[#All], MATCH($B79,TARIFF_TABLE[[#All],[Activity]],0),MATCH("Cost",TARIFF_TABLE[#Headers],0)),INDEX(Staff_Costs[#All],MATCH('Per-Participant Activities Arm6'!D79,Staff_Costs[[#All],[Role]],0),MATCH("Per-minute cost",Staff_Costs[#Headers],0))*'Per-Participant Activities Arm6'!C79)</f>
        <v>#N/A</v>
      </c>
      <c r="AJ79" s="117" t="e">
        <f t="shared" si="4"/>
        <v>#N/A</v>
      </c>
      <c r="AK79" s="117" t="e">
        <f t="shared" si="4"/>
        <v>#N/A</v>
      </c>
      <c r="AL79" s="117" t="e">
        <f t="shared" si="4"/>
        <v>#N/A</v>
      </c>
      <c r="AM79" s="117" t="e">
        <f t="shared" si="4"/>
        <v>#N/A</v>
      </c>
      <c r="AN79" s="117" t="e">
        <f t="shared" si="4"/>
        <v>#N/A</v>
      </c>
      <c r="AO79" s="479" t="e">
        <f>INDEX('Tariff (hidden)'!$B$4:$B$133,MATCH(B79,'Tariff (hidden)'!$A$4:$A$133,0))</f>
        <v>#N/A</v>
      </c>
    </row>
    <row r="80" spans="1:53" x14ac:dyDescent="0.25">
      <c r="A80" s="120"/>
      <c r="B80" s="111"/>
      <c r="C80" s="112"/>
      <c r="D80" s="118"/>
      <c r="E80" s="545"/>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15"/>
      <c r="AI80" s="116" t="e">
        <f>IF(INDEX(TARIFF_TABLE[#All], MATCH($B80,TARIFF_TABLE[[#All],[Activity]],0),MATCH("ActivityType",TARIFF_TABLE[#Headers]))="Investigation",INDEX(TARIFF_TABLE[#All], MATCH($B80,TARIFF_TABLE[[#All],[Activity]],0),MATCH("Cost",TARIFF_TABLE[#Headers],0)),INDEX(Staff_Costs[#All],MATCH('Per-Participant Activities Arm6'!D80,Staff_Costs[[#All],[Role]],0),MATCH("Per-minute cost",Staff_Costs[#Headers],0))*'Per-Participant Activities Arm6'!C80)</f>
        <v>#N/A</v>
      </c>
      <c r="AJ80" s="117" t="e">
        <f t="shared" si="4"/>
        <v>#N/A</v>
      </c>
      <c r="AK80" s="117" t="e">
        <f t="shared" si="4"/>
        <v>#N/A</v>
      </c>
      <c r="AL80" s="117" t="e">
        <f t="shared" si="4"/>
        <v>#N/A</v>
      </c>
      <c r="AM80" s="117" t="e">
        <f t="shared" si="4"/>
        <v>#N/A</v>
      </c>
      <c r="AN80" s="117" t="e">
        <f t="shared" si="4"/>
        <v>#N/A</v>
      </c>
      <c r="AO80" s="479" t="e">
        <f>INDEX('Tariff (hidden)'!$B$4:$B$133,MATCH(B80,'Tariff (hidden)'!$A$4:$A$133,0))</f>
        <v>#N/A</v>
      </c>
    </row>
    <row r="81" spans="1:41" x14ac:dyDescent="0.25">
      <c r="A81" s="120"/>
      <c r="B81" s="111"/>
      <c r="C81" s="112"/>
      <c r="D81" s="118"/>
      <c r="E81" s="545"/>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15"/>
      <c r="AI81" s="116" t="e">
        <f>IF(INDEX(TARIFF_TABLE[#All], MATCH($B81,TARIFF_TABLE[[#All],[Activity]],0),MATCH("ActivityType",TARIFF_TABLE[#Headers]))="Investigation",INDEX(TARIFF_TABLE[#All], MATCH($B81,TARIFF_TABLE[[#All],[Activity]],0),MATCH("Cost",TARIFF_TABLE[#Headers],0)),INDEX(Staff_Costs[#All],MATCH('Per-Participant Activities Arm6'!D81,Staff_Costs[[#All],[Role]],0),MATCH("Per-minute cost",Staff_Costs[#Headers],0))*'Per-Participant Activities Arm6'!C81)</f>
        <v>#N/A</v>
      </c>
      <c r="AJ81" s="117" t="e">
        <f t="shared" si="4"/>
        <v>#N/A</v>
      </c>
      <c r="AK81" s="117" t="e">
        <f t="shared" si="4"/>
        <v>#N/A</v>
      </c>
      <c r="AL81" s="117" t="e">
        <f t="shared" si="4"/>
        <v>#N/A</v>
      </c>
      <c r="AM81" s="117" t="e">
        <f t="shared" si="4"/>
        <v>#N/A</v>
      </c>
      <c r="AN81" s="117" t="e">
        <f t="shared" si="4"/>
        <v>#N/A</v>
      </c>
      <c r="AO81" s="479" t="e">
        <f>INDEX('Tariff (hidden)'!$B$4:$B$133,MATCH(B81,'Tariff (hidden)'!$A$4:$A$133,0))</f>
        <v>#N/A</v>
      </c>
    </row>
    <row r="82" spans="1:41" x14ac:dyDescent="0.25">
      <c r="A82" s="120"/>
      <c r="B82" s="111"/>
      <c r="C82" s="112"/>
      <c r="D82" s="118"/>
      <c r="E82" s="545"/>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15"/>
      <c r="AI82" s="116" t="e">
        <f>IF(INDEX(TARIFF_TABLE[#All], MATCH($B82,TARIFF_TABLE[[#All],[Activity]],0),MATCH("ActivityType",TARIFF_TABLE[#Headers]))="Investigation",INDEX(TARIFF_TABLE[#All], MATCH($B82,TARIFF_TABLE[[#All],[Activity]],0),MATCH("Cost",TARIFF_TABLE[#Headers],0)),INDEX(Staff_Costs[#All],MATCH('Per-Participant Activities Arm6'!D82,Staff_Costs[[#All],[Role]],0),MATCH("Per-minute cost",Staff_Costs[#Headers],0))*'Per-Participant Activities Arm6'!C82)</f>
        <v>#N/A</v>
      </c>
      <c r="AJ82" s="117" t="e">
        <f t="shared" si="4"/>
        <v>#N/A</v>
      </c>
      <c r="AK82" s="117" t="e">
        <f t="shared" si="4"/>
        <v>#N/A</v>
      </c>
      <c r="AL82" s="117" t="e">
        <f t="shared" si="4"/>
        <v>#N/A</v>
      </c>
      <c r="AM82" s="117" t="e">
        <f t="shared" si="4"/>
        <v>#N/A</v>
      </c>
      <c r="AN82" s="117" t="e">
        <f t="shared" si="4"/>
        <v>#N/A</v>
      </c>
      <c r="AO82" s="479" t="e">
        <f>INDEX('Tariff (hidden)'!$B$4:$B$133,MATCH(B82,'Tariff (hidden)'!$A$4:$A$133,0))</f>
        <v>#N/A</v>
      </c>
    </row>
    <row r="83" spans="1:41" x14ac:dyDescent="0.25">
      <c r="A83" s="120"/>
      <c r="B83" s="111"/>
      <c r="C83" s="112"/>
      <c r="D83" s="118"/>
      <c r="E83" s="545"/>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15"/>
      <c r="AI83" s="116" t="e">
        <f>IF(INDEX(TARIFF_TABLE[#All], MATCH($B83,TARIFF_TABLE[[#All],[Activity]],0),MATCH("ActivityType",TARIFF_TABLE[#Headers]))="Investigation",INDEX(TARIFF_TABLE[#All], MATCH($B83,TARIFF_TABLE[[#All],[Activity]],0),MATCH("Cost",TARIFF_TABLE[#Headers],0)),INDEX(Staff_Costs[#All],MATCH('Per-Participant Activities Arm6'!D83,Staff_Costs[[#All],[Role]],0),MATCH("Per-minute cost",Staff_Costs[#Headers],0))*'Per-Participant Activities Arm6'!C83)</f>
        <v>#N/A</v>
      </c>
      <c r="AJ83" s="117" t="e">
        <f t="shared" si="4"/>
        <v>#N/A</v>
      </c>
      <c r="AK83" s="117" t="e">
        <f t="shared" si="4"/>
        <v>#N/A</v>
      </c>
      <c r="AL83" s="117" t="e">
        <f t="shared" si="4"/>
        <v>#N/A</v>
      </c>
      <c r="AM83" s="117" t="e">
        <f t="shared" si="4"/>
        <v>#N/A</v>
      </c>
      <c r="AN83" s="117" t="e">
        <f t="shared" si="4"/>
        <v>#N/A</v>
      </c>
      <c r="AO83" s="479" t="e">
        <f>INDEX('Tariff (hidden)'!$B$4:$B$133,MATCH(B83,'Tariff (hidden)'!$A$4:$A$133,0))</f>
        <v>#N/A</v>
      </c>
    </row>
    <row r="84" spans="1:41" x14ac:dyDescent="0.25">
      <c r="A84" s="120"/>
      <c r="B84" s="111"/>
      <c r="C84" s="112"/>
      <c r="D84" s="118"/>
      <c r="E84" s="545"/>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15"/>
      <c r="AI84" s="116" t="e">
        <f>IF(INDEX(TARIFF_TABLE[#All], MATCH($B84,TARIFF_TABLE[[#All],[Activity]],0),MATCH("ActivityType",TARIFF_TABLE[#Headers]))="Investigation",INDEX(TARIFF_TABLE[#All], MATCH($B84,TARIFF_TABLE[[#All],[Activity]],0),MATCH("Cost",TARIFF_TABLE[#Headers],0)),INDEX(Staff_Costs[#All],MATCH('Per-Participant Activities Arm6'!D84,Staff_Costs[[#All],[Role]],0),MATCH("Per-minute cost",Staff_Costs[#Headers],0))*'Per-Participant Activities Arm6'!C84)</f>
        <v>#N/A</v>
      </c>
      <c r="AJ84" s="117" t="e">
        <f t="shared" si="4"/>
        <v>#N/A</v>
      </c>
      <c r="AK84" s="117" t="e">
        <f t="shared" si="4"/>
        <v>#N/A</v>
      </c>
      <c r="AL84" s="117" t="e">
        <f t="shared" si="4"/>
        <v>#N/A</v>
      </c>
      <c r="AM84" s="117" t="e">
        <f t="shared" si="4"/>
        <v>#N/A</v>
      </c>
      <c r="AN84" s="117" t="e">
        <f t="shared" si="4"/>
        <v>#N/A</v>
      </c>
      <c r="AO84" s="479" t="e">
        <f>INDEX('Tariff (hidden)'!$B$4:$B$133,MATCH(B84,'Tariff (hidden)'!$A$4:$A$133,0))</f>
        <v>#N/A</v>
      </c>
    </row>
    <row r="85" spans="1:41" x14ac:dyDescent="0.25">
      <c r="A85" s="120"/>
      <c r="B85" s="111"/>
      <c r="C85" s="112"/>
      <c r="D85" s="118"/>
      <c r="E85" s="545"/>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15"/>
      <c r="AI85" s="116" t="e">
        <f>IF(INDEX(TARIFF_TABLE[#All], MATCH($B85,TARIFF_TABLE[[#All],[Activity]],0),MATCH("ActivityType",TARIFF_TABLE[#Headers]))="Investigation",INDEX(TARIFF_TABLE[#All], MATCH($B85,TARIFF_TABLE[[#All],[Activity]],0),MATCH("Cost",TARIFF_TABLE[#Headers],0)),INDEX(Staff_Costs[#All],MATCH('Per-Participant Activities Arm6'!D85,Staff_Costs[[#All],[Role]],0),MATCH("Per-minute cost",Staff_Costs[#Headers],0))*'Per-Participant Activities Arm6'!C85)</f>
        <v>#N/A</v>
      </c>
      <c r="AJ85" s="117" t="e">
        <f t="shared" si="4"/>
        <v>#N/A</v>
      </c>
      <c r="AK85" s="117" t="e">
        <f t="shared" si="4"/>
        <v>#N/A</v>
      </c>
      <c r="AL85" s="117" t="e">
        <f t="shared" si="4"/>
        <v>#N/A</v>
      </c>
      <c r="AM85" s="117" t="e">
        <f t="shared" si="4"/>
        <v>#N/A</v>
      </c>
      <c r="AN85" s="117" t="e">
        <f t="shared" si="4"/>
        <v>#N/A</v>
      </c>
      <c r="AO85" s="479" t="e">
        <f>INDEX('Tariff (hidden)'!$B$4:$B$133,MATCH(B85,'Tariff (hidden)'!$A$4:$A$133,0))</f>
        <v>#N/A</v>
      </c>
    </row>
    <row r="86" spans="1:41" x14ac:dyDescent="0.25">
      <c r="A86" s="120"/>
      <c r="B86" s="111"/>
      <c r="C86" s="112"/>
      <c r="D86" s="118"/>
      <c r="E86" s="545"/>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15"/>
      <c r="AI86" s="116" t="e">
        <f>IF(INDEX(TARIFF_TABLE[#All], MATCH($B86,TARIFF_TABLE[[#All],[Activity]],0),MATCH("ActivityType",TARIFF_TABLE[#Headers]))="Investigation",INDEX(TARIFF_TABLE[#All], MATCH($B86,TARIFF_TABLE[[#All],[Activity]],0),MATCH("Cost",TARIFF_TABLE[#Headers],0)),INDEX(Staff_Costs[#All],MATCH('Per-Participant Activities Arm6'!D86,Staff_Costs[[#All],[Role]],0),MATCH("Per-minute cost",Staff_Costs[#Headers],0))*'Per-Participant Activities Arm6'!C86)</f>
        <v>#N/A</v>
      </c>
      <c r="AJ86" s="117" t="e">
        <f t="shared" si="4"/>
        <v>#N/A</v>
      </c>
      <c r="AK86" s="117" t="e">
        <f t="shared" si="4"/>
        <v>#N/A</v>
      </c>
      <c r="AL86" s="117" t="e">
        <f t="shared" si="4"/>
        <v>#N/A</v>
      </c>
      <c r="AM86" s="117" t="e">
        <f t="shared" si="4"/>
        <v>#N/A</v>
      </c>
      <c r="AN86" s="117" t="e">
        <f t="shared" si="4"/>
        <v>#N/A</v>
      </c>
      <c r="AO86" s="479" t="e">
        <f>INDEX('Tariff (hidden)'!$B$4:$B$133,MATCH(B86,'Tariff (hidden)'!$A$4:$A$133,0))</f>
        <v>#N/A</v>
      </c>
    </row>
    <row r="87" spans="1:41" x14ac:dyDescent="0.25">
      <c r="A87" s="120"/>
      <c r="B87" s="111"/>
      <c r="C87" s="112"/>
      <c r="D87" s="118"/>
      <c r="E87" s="545"/>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15"/>
      <c r="AI87" s="116" t="e">
        <f>IF(INDEX(TARIFF_TABLE[#All], MATCH($B87,TARIFF_TABLE[[#All],[Activity]],0),MATCH("ActivityType",TARIFF_TABLE[#Headers]))="Investigation",INDEX(TARIFF_TABLE[#All], MATCH($B87,TARIFF_TABLE[[#All],[Activity]],0),MATCH("Cost",TARIFF_TABLE[#Headers],0)),INDEX(Staff_Costs[#All],MATCH('Per-Participant Activities Arm6'!D87,Staff_Costs[[#All],[Role]],0),MATCH("Per-minute cost",Staff_Costs[#Headers],0))*'Per-Participant Activities Arm6'!C87)</f>
        <v>#N/A</v>
      </c>
      <c r="AJ87" s="117" t="e">
        <f t="shared" si="4"/>
        <v>#N/A</v>
      </c>
      <c r="AK87" s="117" t="e">
        <f t="shared" si="4"/>
        <v>#N/A</v>
      </c>
      <c r="AL87" s="117" t="e">
        <f t="shared" si="4"/>
        <v>#N/A</v>
      </c>
      <c r="AM87" s="117" t="e">
        <f t="shared" si="4"/>
        <v>#N/A</v>
      </c>
      <c r="AN87" s="117" t="e">
        <f t="shared" si="4"/>
        <v>#N/A</v>
      </c>
      <c r="AO87" s="479" t="e">
        <f>INDEX('Tariff (hidden)'!$B$4:$B$133,MATCH(B87,'Tariff (hidden)'!$A$4:$A$133,0))</f>
        <v>#N/A</v>
      </c>
    </row>
    <row r="88" spans="1:41" x14ac:dyDescent="0.25">
      <c r="A88" s="120"/>
      <c r="B88" s="111"/>
      <c r="C88" s="112"/>
      <c r="D88" s="118"/>
      <c r="E88" s="545"/>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15"/>
      <c r="AI88" s="116" t="e">
        <f>IF(INDEX(TARIFF_TABLE[#All], MATCH($B88,TARIFF_TABLE[[#All],[Activity]],0),MATCH("ActivityType",TARIFF_TABLE[#Headers]))="Investigation",INDEX(TARIFF_TABLE[#All], MATCH($B88,TARIFF_TABLE[[#All],[Activity]],0),MATCH("Cost",TARIFF_TABLE[#Headers],0)),INDEX(Staff_Costs[#All],MATCH('Per-Participant Activities Arm6'!D88,Staff_Costs[[#All],[Role]],0),MATCH("Per-minute cost",Staff_Costs[#Headers],0))*'Per-Participant Activities Arm6'!C88)</f>
        <v>#N/A</v>
      </c>
      <c r="AJ88" s="117" t="e">
        <f t="shared" si="4"/>
        <v>#N/A</v>
      </c>
      <c r="AK88" s="117" t="e">
        <f t="shared" si="4"/>
        <v>#N/A</v>
      </c>
      <c r="AL88" s="117" t="e">
        <f t="shared" si="4"/>
        <v>#N/A</v>
      </c>
      <c r="AM88" s="117" t="e">
        <f t="shared" si="4"/>
        <v>#N/A</v>
      </c>
      <c r="AN88" s="117" t="e">
        <f t="shared" si="4"/>
        <v>#N/A</v>
      </c>
      <c r="AO88" s="479" t="e">
        <f>INDEX('Tariff (hidden)'!$B$4:$B$133,MATCH(B88,'Tariff (hidden)'!$A$4:$A$133,0))</f>
        <v>#N/A</v>
      </c>
    </row>
    <row r="89" spans="1:41" x14ac:dyDescent="0.25">
      <c r="A89" s="120"/>
      <c r="B89" s="111"/>
      <c r="C89" s="112"/>
      <c r="D89" s="118"/>
      <c r="E89" s="545"/>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15"/>
      <c r="AI89" s="116" t="e">
        <f>IF(INDEX(TARIFF_TABLE[#All], MATCH($B89,TARIFF_TABLE[[#All],[Activity]],0),MATCH("ActivityType",TARIFF_TABLE[#Headers]))="Investigation",INDEX(TARIFF_TABLE[#All], MATCH($B89,TARIFF_TABLE[[#All],[Activity]],0),MATCH("Cost",TARIFF_TABLE[#Headers],0)),INDEX(Staff_Costs[#All],MATCH('Per-Participant Activities Arm6'!D89,Staff_Costs[[#All],[Role]],0),MATCH("Per-minute cost",Staff_Costs[#Headers],0))*'Per-Participant Activities Arm6'!C89)</f>
        <v>#N/A</v>
      </c>
      <c r="AJ89" s="117" t="e">
        <f t="shared" si="4"/>
        <v>#N/A</v>
      </c>
      <c r="AK89" s="117" t="e">
        <f t="shared" si="4"/>
        <v>#N/A</v>
      </c>
      <c r="AL89" s="117" t="e">
        <f t="shared" si="4"/>
        <v>#N/A</v>
      </c>
      <c r="AM89" s="117" t="e">
        <f t="shared" si="4"/>
        <v>#N/A</v>
      </c>
      <c r="AN89" s="117" t="e">
        <f t="shared" si="4"/>
        <v>#N/A</v>
      </c>
      <c r="AO89" s="479" t="e">
        <f>INDEX('Tariff (hidden)'!$B$4:$B$133,MATCH(B89,'Tariff (hidden)'!$A$4:$A$133,0))</f>
        <v>#N/A</v>
      </c>
    </row>
    <row r="90" spans="1:41" x14ac:dyDescent="0.25">
      <c r="A90" s="120"/>
      <c r="B90" s="111"/>
      <c r="C90" s="112"/>
      <c r="D90" s="118"/>
      <c r="E90" s="545"/>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15"/>
      <c r="AI90" s="116" t="e">
        <f>IF(INDEX(TARIFF_TABLE[#All], MATCH($B90,TARIFF_TABLE[[#All],[Activity]],0),MATCH("ActivityType",TARIFF_TABLE[#Headers]))="Investigation",INDEX(TARIFF_TABLE[#All], MATCH($B90,TARIFF_TABLE[[#All],[Activity]],0),MATCH("Cost",TARIFF_TABLE[#Headers],0)),INDEX(Staff_Costs[#All],MATCH('Per-Participant Activities Arm6'!D90,Staff_Costs[[#All],[Role]],0),MATCH("Per-minute cost",Staff_Costs[#Headers],0))*'Per-Participant Activities Arm6'!C90)</f>
        <v>#N/A</v>
      </c>
      <c r="AJ90" s="117" t="e">
        <f t="shared" si="4"/>
        <v>#N/A</v>
      </c>
      <c r="AK90" s="117" t="e">
        <f t="shared" si="4"/>
        <v>#N/A</v>
      </c>
      <c r="AL90" s="117" t="e">
        <f t="shared" si="4"/>
        <v>#N/A</v>
      </c>
      <c r="AM90" s="117" t="e">
        <f t="shared" si="4"/>
        <v>#N/A</v>
      </c>
      <c r="AN90" s="117" t="e">
        <f t="shared" si="4"/>
        <v>#N/A</v>
      </c>
      <c r="AO90" s="479" t="e">
        <f>INDEX('Tariff (hidden)'!$B$4:$B$133,MATCH(B90,'Tariff (hidden)'!$A$4:$A$133,0))</f>
        <v>#N/A</v>
      </c>
    </row>
    <row r="91" spans="1:41" x14ac:dyDescent="0.25">
      <c r="A91" s="120"/>
      <c r="B91" s="111"/>
      <c r="C91" s="112"/>
      <c r="D91" s="118"/>
      <c r="E91" s="545"/>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15"/>
      <c r="AI91" s="116" t="e">
        <f>IF(INDEX(TARIFF_TABLE[#All], MATCH($B91,TARIFF_TABLE[[#All],[Activity]],0),MATCH("ActivityType",TARIFF_TABLE[#Headers]))="Investigation",INDEX(TARIFF_TABLE[#All], MATCH($B91,TARIFF_TABLE[[#All],[Activity]],0),MATCH("Cost",TARIFF_TABLE[#Headers],0)),INDEX(Staff_Costs[#All],MATCH('Per-Participant Activities Arm6'!D91,Staff_Costs[[#All],[Role]],0),MATCH("Per-minute cost",Staff_Costs[#Headers],0))*'Per-Participant Activities Arm6'!C91)</f>
        <v>#N/A</v>
      </c>
      <c r="AJ91" s="117" t="e">
        <f t="shared" si="4"/>
        <v>#N/A</v>
      </c>
      <c r="AK91" s="117" t="e">
        <f t="shared" si="4"/>
        <v>#N/A</v>
      </c>
      <c r="AL91" s="117" t="e">
        <f t="shared" si="4"/>
        <v>#N/A</v>
      </c>
      <c r="AM91" s="117" t="e">
        <f t="shared" si="4"/>
        <v>#N/A</v>
      </c>
      <c r="AN91" s="117" t="e">
        <f t="shared" si="4"/>
        <v>#N/A</v>
      </c>
      <c r="AO91" s="479" t="e">
        <f>INDEX('Tariff (hidden)'!$B$4:$B$133,MATCH(B91,'Tariff (hidden)'!$A$4:$A$133,0))</f>
        <v>#N/A</v>
      </c>
    </row>
    <row r="92" spans="1:41" x14ac:dyDescent="0.25">
      <c r="A92" s="120"/>
      <c r="B92" s="111"/>
      <c r="C92" s="112"/>
      <c r="D92" s="118"/>
      <c r="E92" s="545"/>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15"/>
      <c r="AI92" s="116" t="e">
        <f>IF(INDEX(TARIFF_TABLE[#All], MATCH($B92,TARIFF_TABLE[[#All],[Activity]],0),MATCH("ActivityType",TARIFF_TABLE[#Headers]))="Investigation",INDEX(TARIFF_TABLE[#All], MATCH($B92,TARIFF_TABLE[[#All],[Activity]],0),MATCH("Cost",TARIFF_TABLE[#Headers],0)),INDEX(Staff_Costs[#All],MATCH('Per-Participant Activities Arm6'!D92,Staff_Costs[[#All],[Role]],0),MATCH("Per-minute cost",Staff_Costs[#Headers],0))*'Per-Participant Activities Arm6'!C92)</f>
        <v>#N/A</v>
      </c>
      <c r="AJ92" s="117" t="e">
        <f t="shared" si="4"/>
        <v>#N/A</v>
      </c>
      <c r="AK92" s="117" t="e">
        <f t="shared" si="4"/>
        <v>#N/A</v>
      </c>
      <c r="AL92" s="117" t="e">
        <f t="shared" si="4"/>
        <v>#N/A</v>
      </c>
      <c r="AM92" s="117" t="e">
        <f t="shared" si="4"/>
        <v>#N/A</v>
      </c>
      <c r="AN92" s="117" t="e">
        <f t="shared" si="4"/>
        <v>#N/A</v>
      </c>
      <c r="AO92" s="479" t="e">
        <f>INDEX('Tariff (hidden)'!$B$4:$B$133,MATCH(B92,'Tariff (hidden)'!$A$4:$A$133,0))</f>
        <v>#N/A</v>
      </c>
    </row>
    <row r="93" spans="1:41" x14ac:dyDescent="0.25">
      <c r="A93" s="120"/>
      <c r="B93" s="111"/>
      <c r="C93" s="112"/>
      <c r="D93" s="118"/>
      <c r="E93" s="545"/>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15"/>
      <c r="AI93" s="116" t="e">
        <f>IF(INDEX(TARIFF_TABLE[#All], MATCH($B93,TARIFF_TABLE[[#All],[Activity]],0),MATCH("ActivityType",TARIFF_TABLE[#Headers]))="Investigation",INDEX(TARIFF_TABLE[#All], MATCH($B93,TARIFF_TABLE[[#All],[Activity]],0),MATCH("Cost",TARIFF_TABLE[#Headers],0)),INDEX(Staff_Costs[#All],MATCH('Per-Participant Activities Arm6'!D93,Staff_Costs[[#All],[Role]],0),MATCH("Per-minute cost",Staff_Costs[#Headers],0))*'Per-Participant Activities Arm6'!C93)</f>
        <v>#N/A</v>
      </c>
      <c r="AJ93" s="117" t="e">
        <f t="shared" si="4"/>
        <v>#N/A</v>
      </c>
      <c r="AK93" s="117" t="e">
        <f t="shared" si="4"/>
        <v>#N/A</v>
      </c>
      <c r="AL93" s="117" t="e">
        <f t="shared" si="4"/>
        <v>#N/A</v>
      </c>
      <c r="AM93" s="117" t="e">
        <f t="shared" si="4"/>
        <v>#N/A</v>
      </c>
      <c r="AN93" s="117" t="e">
        <f t="shared" si="4"/>
        <v>#N/A</v>
      </c>
      <c r="AO93" s="479" t="e">
        <f>INDEX('Tariff (hidden)'!$B$4:$B$133,MATCH(B93,'Tariff (hidden)'!$A$4:$A$133,0))</f>
        <v>#N/A</v>
      </c>
    </row>
    <row r="94" spans="1:41" x14ac:dyDescent="0.25">
      <c r="A94" s="120"/>
      <c r="B94" s="111"/>
      <c r="C94" s="112"/>
      <c r="D94" s="118"/>
      <c r="E94" s="545"/>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15"/>
      <c r="AI94" s="116" t="e">
        <f>IF(INDEX(TARIFF_TABLE[#All], MATCH($B94,TARIFF_TABLE[[#All],[Activity]],0),MATCH("ActivityType",TARIFF_TABLE[#Headers]))="Investigation",INDEX(TARIFF_TABLE[#All], MATCH($B94,TARIFF_TABLE[[#All],[Activity]],0),MATCH("Cost",TARIFF_TABLE[#Headers],0)),INDEX(Staff_Costs[#All],MATCH('Per-Participant Activities Arm6'!D94,Staff_Costs[[#All],[Role]],0),MATCH("Per-minute cost",Staff_Costs[#Headers],0))*'Per-Participant Activities Arm6'!C94)</f>
        <v>#N/A</v>
      </c>
      <c r="AJ94" s="117" t="e">
        <f t="shared" si="4"/>
        <v>#N/A</v>
      </c>
      <c r="AK94" s="117" t="e">
        <f t="shared" si="4"/>
        <v>#N/A</v>
      </c>
      <c r="AL94" s="117" t="e">
        <f t="shared" si="4"/>
        <v>#N/A</v>
      </c>
      <c r="AM94" s="117" t="e">
        <f t="shared" si="4"/>
        <v>#N/A</v>
      </c>
      <c r="AN94" s="117" t="e">
        <f t="shared" si="4"/>
        <v>#N/A</v>
      </c>
      <c r="AO94" s="479" t="e">
        <f>INDEX('Tariff (hidden)'!$B$4:$B$133,MATCH(B94,'Tariff (hidden)'!$A$4:$A$133,0))</f>
        <v>#N/A</v>
      </c>
    </row>
    <row r="95" spans="1:41" x14ac:dyDescent="0.25">
      <c r="A95" s="120"/>
      <c r="B95" s="111"/>
      <c r="C95" s="112"/>
      <c r="D95" s="118"/>
      <c r="E95" s="545"/>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15"/>
      <c r="AI95" s="116" t="e">
        <f>IF(INDEX(TARIFF_TABLE[#All], MATCH($B95,TARIFF_TABLE[[#All],[Activity]],0),MATCH("ActivityType",TARIFF_TABLE[#Headers]))="Investigation",INDEX(TARIFF_TABLE[#All], MATCH($B95,TARIFF_TABLE[[#All],[Activity]],0),MATCH("Cost",TARIFF_TABLE[#Headers],0)),INDEX(Staff_Costs[#All],MATCH('Per-Participant Activities Arm6'!D95,Staff_Costs[[#All],[Role]],0),MATCH("Per-minute cost",Staff_Costs[#Headers],0))*'Per-Participant Activities Arm6'!C95)</f>
        <v>#N/A</v>
      </c>
      <c r="AJ95" s="117" t="e">
        <f t="shared" si="4"/>
        <v>#N/A</v>
      </c>
      <c r="AK95" s="117" t="e">
        <f t="shared" si="4"/>
        <v>#N/A</v>
      </c>
      <c r="AL95" s="117" t="e">
        <f t="shared" si="4"/>
        <v>#N/A</v>
      </c>
      <c r="AM95" s="117" t="e">
        <f t="shared" si="4"/>
        <v>#N/A</v>
      </c>
      <c r="AN95" s="117" t="e">
        <f t="shared" si="4"/>
        <v>#N/A</v>
      </c>
      <c r="AO95" s="479" t="e">
        <f>INDEX('Tariff (hidden)'!$B$4:$B$133,MATCH(B95,'Tariff (hidden)'!$A$4:$A$133,0))</f>
        <v>#N/A</v>
      </c>
    </row>
    <row r="96" spans="1:41" x14ac:dyDescent="0.25">
      <c r="A96" s="120"/>
      <c r="B96" s="111"/>
      <c r="C96" s="112"/>
      <c r="D96" s="118"/>
      <c r="E96" s="545"/>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15"/>
      <c r="AI96" s="116" t="e">
        <f>IF(INDEX(TARIFF_TABLE[#All], MATCH($B96,TARIFF_TABLE[[#All],[Activity]],0),MATCH("ActivityType",TARIFF_TABLE[#Headers]))="Investigation",INDEX(TARIFF_TABLE[#All], MATCH($B96,TARIFF_TABLE[[#All],[Activity]],0),MATCH("Cost",TARIFF_TABLE[#Headers],0)),INDEX(Staff_Costs[#All],MATCH('Per-Participant Activities Arm6'!D96,Staff_Costs[[#All],[Role]],0),MATCH("Per-minute cost",Staff_Costs[#Headers],0))*'Per-Participant Activities Arm6'!C96)</f>
        <v>#N/A</v>
      </c>
      <c r="AJ96" s="117" t="e">
        <f t="shared" si="4"/>
        <v>#N/A</v>
      </c>
      <c r="AK96" s="117" t="e">
        <f t="shared" si="4"/>
        <v>#N/A</v>
      </c>
      <c r="AL96" s="117" t="e">
        <f t="shared" si="4"/>
        <v>#N/A</v>
      </c>
      <c r="AM96" s="117" t="e">
        <f t="shared" si="4"/>
        <v>#N/A</v>
      </c>
      <c r="AN96" s="117" t="e">
        <f t="shared" si="4"/>
        <v>#N/A</v>
      </c>
      <c r="AO96" s="479" t="e">
        <f>INDEX('Tariff (hidden)'!$B$4:$B$133,MATCH(B96,'Tariff (hidden)'!$A$4:$A$133,0))</f>
        <v>#N/A</v>
      </c>
    </row>
    <row r="97" spans="1:41" x14ac:dyDescent="0.25">
      <c r="A97" s="120"/>
      <c r="B97" s="111"/>
      <c r="C97" s="112"/>
      <c r="D97" s="118"/>
      <c r="E97" s="545"/>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15"/>
      <c r="AI97" s="116" t="e">
        <f>IF(INDEX(TARIFF_TABLE[#All], MATCH($B97,TARIFF_TABLE[[#All],[Activity]],0),MATCH("ActivityType",TARIFF_TABLE[#Headers]))="Investigation",INDEX(TARIFF_TABLE[#All], MATCH($B97,TARIFF_TABLE[[#All],[Activity]],0),MATCH("Cost",TARIFF_TABLE[#Headers],0)),INDEX(Staff_Costs[#All],MATCH('Per-Participant Activities Arm6'!D97,Staff_Costs[[#All],[Role]],0),MATCH("Per-minute cost",Staff_Costs[#Headers],0))*'Per-Participant Activities Arm6'!C97)</f>
        <v>#N/A</v>
      </c>
      <c r="AJ97" s="117" t="e">
        <f t="shared" si="4"/>
        <v>#N/A</v>
      </c>
      <c r="AK97" s="117" t="e">
        <f t="shared" si="4"/>
        <v>#N/A</v>
      </c>
      <c r="AL97" s="117" t="e">
        <f t="shared" si="4"/>
        <v>#N/A</v>
      </c>
      <c r="AM97" s="117" t="e">
        <f t="shared" si="4"/>
        <v>#N/A</v>
      </c>
      <c r="AN97" s="117" t="e">
        <f t="shared" si="4"/>
        <v>#N/A</v>
      </c>
      <c r="AO97" s="479" t="e">
        <f>INDEX('Tariff (hidden)'!$B$4:$B$133,MATCH(B97,'Tariff (hidden)'!$A$4:$A$133,0))</f>
        <v>#N/A</v>
      </c>
    </row>
    <row r="98" spans="1:41" x14ac:dyDescent="0.25">
      <c r="A98" s="120"/>
      <c r="B98" s="111"/>
      <c r="C98" s="112"/>
      <c r="D98" s="118"/>
      <c r="E98" s="545"/>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15"/>
      <c r="AI98" s="116" t="e">
        <f>IF(INDEX(TARIFF_TABLE[#All], MATCH($B98,TARIFF_TABLE[[#All],[Activity]],0),MATCH("ActivityType",TARIFF_TABLE[#Headers]))="Investigation",INDEX(TARIFF_TABLE[#All], MATCH($B98,TARIFF_TABLE[[#All],[Activity]],0),MATCH("Cost",TARIFF_TABLE[#Headers],0)),INDEX(Staff_Costs[#All],MATCH('Per-Participant Activities Arm6'!D98,Staff_Costs[[#All],[Role]],0),MATCH("Per-minute cost",Staff_Costs[#Headers],0))*'Per-Participant Activities Arm6'!C98)</f>
        <v>#N/A</v>
      </c>
      <c r="AJ98" s="117" t="e">
        <f t="shared" si="4"/>
        <v>#N/A</v>
      </c>
      <c r="AK98" s="117" t="e">
        <f t="shared" si="4"/>
        <v>#N/A</v>
      </c>
      <c r="AL98" s="117" t="e">
        <f t="shared" si="4"/>
        <v>#N/A</v>
      </c>
      <c r="AM98" s="117" t="e">
        <f t="shared" si="4"/>
        <v>#N/A</v>
      </c>
      <c r="AN98" s="117" t="e">
        <f t="shared" si="4"/>
        <v>#N/A</v>
      </c>
      <c r="AO98" s="479" t="e">
        <f>INDEX('Tariff (hidden)'!$B$4:$B$133,MATCH(B98,'Tariff (hidden)'!$A$4:$A$133,0))</f>
        <v>#N/A</v>
      </c>
    </row>
    <row r="99" spans="1:41" x14ac:dyDescent="0.25">
      <c r="A99" s="120"/>
      <c r="B99" s="111"/>
      <c r="C99" s="112"/>
      <c r="D99" s="118"/>
      <c r="E99" s="545"/>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15"/>
      <c r="AI99" s="116" t="e">
        <f>IF(INDEX(TARIFF_TABLE[#All], MATCH($B99,TARIFF_TABLE[[#All],[Activity]],0),MATCH("ActivityType",TARIFF_TABLE[#Headers]))="Investigation",INDEX(TARIFF_TABLE[#All], MATCH($B99,TARIFF_TABLE[[#All],[Activity]],0),MATCH("Cost",TARIFF_TABLE[#Headers],0)),INDEX(Staff_Costs[#All],MATCH('Per-Participant Activities Arm6'!D99,Staff_Costs[[#All],[Role]],0),MATCH("Per-minute cost",Staff_Costs[#Headers],0))*'Per-Participant Activities Arm6'!C99)</f>
        <v>#N/A</v>
      </c>
      <c r="AJ99" s="117" t="e">
        <f t="shared" si="4"/>
        <v>#N/A</v>
      </c>
      <c r="AK99" s="117" t="e">
        <f t="shared" si="4"/>
        <v>#N/A</v>
      </c>
      <c r="AL99" s="117" t="e">
        <f t="shared" si="4"/>
        <v>#N/A</v>
      </c>
      <c r="AM99" s="117" t="e">
        <f t="shared" si="4"/>
        <v>#N/A</v>
      </c>
      <c r="AN99" s="117" t="e">
        <f t="shared" si="4"/>
        <v>#N/A</v>
      </c>
      <c r="AO99" s="479" t="e">
        <f>INDEX('Tariff (hidden)'!$B$4:$B$133,MATCH(B99,'Tariff (hidden)'!$A$4:$A$133,0))</f>
        <v>#N/A</v>
      </c>
    </row>
    <row r="100" spans="1:41" x14ac:dyDescent="0.25">
      <c r="A100" s="120"/>
      <c r="B100" s="111"/>
      <c r="C100" s="112"/>
      <c r="D100" s="118"/>
      <c r="E100" s="545"/>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15"/>
      <c r="AI100" s="116" t="e">
        <f>IF(INDEX(TARIFF_TABLE[#All], MATCH($B100,TARIFF_TABLE[[#All],[Activity]],0),MATCH("ActivityType",TARIFF_TABLE[#Headers]))="Investigation",INDEX(TARIFF_TABLE[#All], MATCH($B100,TARIFF_TABLE[[#All],[Activity]],0),MATCH("Cost",TARIFF_TABLE[#Headers],0)),INDEX(Staff_Costs[#All],MATCH('Per-Participant Activities Arm6'!D100,Staff_Costs[[#All],[Role]],0),MATCH("Per-minute cost",Staff_Costs[#Headers],0))*'Per-Participant Activities Arm6'!C100)</f>
        <v>#N/A</v>
      </c>
      <c r="AJ100" s="117" t="e">
        <f t="shared" si="4"/>
        <v>#N/A</v>
      </c>
      <c r="AK100" s="117" t="e">
        <f t="shared" si="4"/>
        <v>#N/A</v>
      </c>
      <c r="AL100" s="117" t="e">
        <f t="shared" si="4"/>
        <v>#N/A</v>
      </c>
      <c r="AM100" s="117" t="e">
        <f t="shared" si="4"/>
        <v>#N/A</v>
      </c>
      <c r="AN100" s="117" t="e">
        <f t="shared" si="4"/>
        <v>#N/A</v>
      </c>
      <c r="AO100" s="479" t="e">
        <f>INDEX('Tariff (hidden)'!$B$4:$B$133,MATCH(B100,'Tariff (hidden)'!$A$4:$A$133,0))</f>
        <v>#N/A</v>
      </c>
    </row>
    <row r="101" spans="1:41" x14ac:dyDescent="0.25">
      <c r="A101" s="120"/>
      <c r="B101" s="111"/>
      <c r="C101" s="112"/>
      <c r="D101" s="118"/>
      <c r="E101" s="545"/>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15"/>
      <c r="AI101" s="116" t="e">
        <f>IF(INDEX(TARIFF_TABLE[#All], MATCH($B101,TARIFF_TABLE[[#All],[Activity]],0),MATCH("ActivityType",TARIFF_TABLE[#Headers]))="Investigation",INDEX(TARIFF_TABLE[#All], MATCH($B101,TARIFF_TABLE[[#All],[Activity]],0),MATCH("Cost",TARIFF_TABLE[#Headers],0)),INDEX(Staff_Costs[#All],MATCH('Per-Participant Activities Arm6'!D101,Staff_Costs[[#All],[Role]],0),MATCH("Per-minute cost",Staff_Costs[#Headers],0))*'Per-Participant Activities Arm6'!C101)</f>
        <v>#N/A</v>
      </c>
      <c r="AJ101" s="117" t="e">
        <f t="shared" si="4"/>
        <v>#N/A</v>
      </c>
      <c r="AK101" s="117" t="e">
        <f t="shared" si="4"/>
        <v>#N/A</v>
      </c>
      <c r="AL101" s="117" t="e">
        <f t="shared" si="4"/>
        <v>#N/A</v>
      </c>
      <c r="AM101" s="117" t="e">
        <f t="shared" si="4"/>
        <v>#N/A</v>
      </c>
      <c r="AN101" s="117" t="e">
        <f t="shared" si="4"/>
        <v>#N/A</v>
      </c>
      <c r="AO101" s="479" t="e">
        <f>INDEX('Tariff (hidden)'!$B$4:$B$133,MATCH(B101,'Tariff (hidden)'!$A$4:$A$133,0))</f>
        <v>#N/A</v>
      </c>
    </row>
    <row r="102" spans="1:41" x14ac:dyDescent="0.25">
      <c r="A102" s="120"/>
      <c r="B102" s="111"/>
      <c r="C102" s="112"/>
      <c r="D102" s="118"/>
      <c r="E102" s="545"/>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15"/>
      <c r="AI102" s="116" t="e">
        <f>IF(INDEX(TARIFF_TABLE[#All], MATCH($B102,TARIFF_TABLE[[#All],[Activity]],0),MATCH("ActivityType",TARIFF_TABLE[#Headers]))="Investigation",INDEX(TARIFF_TABLE[#All], MATCH($B102,TARIFF_TABLE[[#All],[Activity]],0),MATCH("Cost",TARIFF_TABLE[#Headers],0)),INDEX(Staff_Costs[#All],MATCH('Per-Participant Activities Arm6'!D102,Staff_Costs[[#All],[Role]],0),MATCH("Per-minute cost",Staff_Costs[#Headers],0))*'Per-Participant Activities Arm6'!C102)</f>
        <v>#N/A</v>
      </c>
      <c r="AJ102" s="117" t="e">
        <f t="shared" si="4"/>
        <v>#N/A</v>
      </c>
      <c r="AK102" s="117" t="e">
        <f t="shared" si="4"/>
        <v>#N/A</v>
      </c>
      <c r="AL102" s="117" t="e">
        <f t="shared" si="4"/>
        <v>#N/A</v>
      </c>
      <c r="AM102" s="117" t="e">
        <f t="shared" si="4"/>
        <v>#N/A</v>
      </c>
      <c r="AN102" s="117" t="e">
        <f t="shared" si="4"/>
        <v>#N/A</v>
      </c>
      <c r="AO102" s="479" t="e">
        <f>INDEX('Tariff (hidden)'!$B$4:$B$133,MATCH(B102,'Tariff (hidden)'!$A$4:$A$133,0))</f>
        <v>#N/A</v>
      </c>
    </row>
    <row r="103" spans="1:41" x14ac:dyDescent="0.25">
      <c r="A103" s="120"/>
      <c r="B103" s="111"/>
      <c r="C103" s="112"/>
      <c r="D103" s="118"/>
      <c r="E103" s="545"/>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15"/>
      <c r="AI103" s="116" t="e">
        <f>IF(INDEX(TARIFF_TABLE[#All], MATCH($B103,TARIFF_TABLE[[#All],[Activity]],0),MATCH("ActivityType",TARIFF_TABLE[#Headers]))="Investigation",INDEX(TARIFF_TABLE[#All], MATCH($B103,TARIFF_TABLE[[#All],[Activity]],0),MATCH("Cost",TARIFF_TABLE[#Headers],0)),INDEX(Staff_Costs[#All],MATCH('Per-Participant Activities Arm6'!D103,Staff_Costs[[#All],[Role]],0),MATCH("Per-minute cost",Staff_Costs[#Headers],0))*'Per-Participant Activities Arm6'!C103)</f>
        <v>#N/A</v>
      </c>
      <c r="AJ103" s="117" t="e">
        <f t="shared" si="4"/>
        <v>#N/A</v>
      </c>
      <c r="AK103" s="117" t="e">
        <f t="shared" si="4"/>
        <v>#N/A</v>
      </c>
      <c r="AL103" s="117" t="e">
        <f t="shared" si="4"/>
        <v>#N/A</v>
      </c>
      <c r="AM103" s="117" t="e">
        <f t="shared" si="4"/>
        <v>#N/A</v>
      </c>
      <c r="AN103" s="117" t="e">
        <f t="shared" si="4"/>
        <v>#N/A</v>
      </c>
      <c r="AO103" s="479" t="e">
        <f>INDEX('Tariff (hidden)'!$B$4:$B$133,MATCH(B103,'Tariff (hidden)'!$A$4:$A$133,0))</f>
        <v>#N/A</v>
      </c>
    </row>
    <row r="104" spans="1:41" x14ac:dyDescent="0.25">
      <c r="A104" s="120"/>
      <c r="B104" s="111"/>
      <c r="C104" s="112"/>
      <c r="D104" s="118"/>
      <c r="E104" s="545"/>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15"/>
      <c r="AI104" s="116" t="e">
        <f>IF(INDEX(TARIFF_TABLE[#All], MATCH($B104,TARIFF_TABLE[[#All],[Activity]],0),MATCH("ActivityType",TARIFF_TABLE[#Headers]))="Investigation",INDEX(TARIFF_TABLE[#All], MATCH($B104,TARIFF_TABLE[[#All],[Activity]],0),MATCH("Cost",TARIFF_TABLE[#Headers],0)),INDEX(Staff_Costs[#All],MATCH('Per-Participant Activities Arm6'!D104,Staff_Costs[[#All],[Role]],0),MATCH("Per-minute cost",Staff_Costs[#Headers],0))*'Per-Participant Activities Arm6'!C104)</f>
        <v>#N/A</v>
      </c>
      <c r="AJ104" s="117" t="e">
        <f t="shared" si="4"/>
        <v>#N/A</v>
      </c>
      <c r="AK104" s="117" t="e">
        <f t="shared" si="4"/>
        <v>#N/A</v>
      </c>
      <c r="AL104" s="117" t="e">
        <f t="shared" si="4"/>
        <v>#N/A</v>
      </c>
      <c r="AM104" s="117" t="e">
        <f t="shared" si="4"/>
        <v>#N/A</v>
      </c>
      <c r="AN104" s="117" t="e">
        <f t="shared" si="4"/>
        <v>#N/A</v>
      </c>
      <c r="AO104" s="479" t="e">
        <f>INDEX('Tariff (hidden)'!$B$4:$B$133,MATCH(B104,'Tariff (hidden)'!$A$4:$A$133,0))</f>
        <v>#N/A</v>
      </c>
    </row>
    <row r="105" spans="1:41" x14ac:dyDescent="0.25">
      <c r="A105" s="120"/>
      <c r="B105" s="111"/>
      <c r="C105" s="112"/>
      <c r="D105" s="118"/>
      <c r="E105" s="545"/>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15"/>
      <c r="AI105" s="116" t="e">
        <f>IF(INDEX(TARIFF_TABLE[#All], MATCH($B105,TARIFF_TABLE[[#All],[Activity]],0),MATCH("ActivityType",TARIFF_TABLE[#Headers]))="Investigation",INDEX(TARIFF_TABLE[#All], MATCH($B105,TARIFF_TABLE[[#All],[Activity]],0),MATCH("Cost",TARIFF_TABLE[#Headers],0)),INDEX(Staff_Costs[#All],MATCH('Per-Participant Activities Arm6'!D105,Staff_Costs[[#All],[Role]],0),MATCH("Per-minute cost",Staff_Costs[#Headers],0))*'Per-Participant Activities Arm6'!C105)</f>
        <v>#N/A</v>
      </c>
      <c r="AJ105" s="117" t="e">
        <f t="shared" si="4"/>
        <v>#N/A</v>
      </c>
      <c r="AK105" s="117" t="e">
        <f t="shared" si="4"/>
        <v>#N/A</v>
      </c>
      <c r="AL105" s="117" t="e">
        <f t="shared" si="4"/>
        <v>#N/A</v>
      </c>
      <c r="AM105" s="117" t="e">
        <f t="shared" si="4"/>
        <v>#N/A</v>
      </c>
      <c r="AN105" s="117" t="e">
        <f t="shared" si="4"/>
        <v>#N/A</v>
      </c>
      <c r="AO105" s="479" t="e">
        <f>INDEX('Tariff (hidden)'!$B$4:$B$133,MATCH(B105,'Tariff (hidden)'!$A$4:$A$133,0))</f>
        <v>#N/A</v>
      </c>
    </row>
    <row r="106" spans="1:41" x14ac:dyDescent="0.25">
      <c r="A106" s="120"/>
      <c r="B106" s="111"/>
      <c r="C106" s="112"/>
      <c r="D106" s="118"/>
      <c r="E106" s="545"/>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15"/>
      <c r="AI106" s="116" t="e">
        <f>IF(INDEX(TARIFF_TABLE[#All], MATCH($B106,TARIFF_TABLE[[#All],[Activity]],0),MATCH("ActivityType",TARIFF_TABLE[#Headers]))="Investigation",INDEX(TARIFF_TABLE[#All], MATCH($B106,TARIFF_TABLE[[#All],[Activity]],0),MATCH("Cost",TARIFF_TABLE[#Headers],0)),INDEX(Staff_Costs[#All],MATCH('Per-Participant Activities Arm6'!D106,Staff_Costs[[#All],[Role]],0),MATCH("Per-minute cost",Staff_Costs[#Headers],0))*'Per-Participant Activities Arm6'!C106)</f>
        <v>#N/A</v>
      </c>
      <c r="AJ106" s="117" t="e">
        <f t="shared" si="4"/>
        <v>#N/A</v>
      </c>
      <c r="AK106" s="117" t="e">
        <f t="shared" si="4"/>
        <v>#N/A</v>
      </c>
      <c r="AL106" s="117" t="e">
        <f t="shared" si="4"/>
        <v>#N/A</v>
      </c>
      <c r="AM106" s="117" t="e">
        <f t="shared" si="4"/>
        <v>#N/A</v>
      </c>
      <c r="AN106" s="117" t="e">
        <f t="shared" si="4"/>
        <v>#N/A</v>
      </c>
      <c r="AO106" s="479" t="e">
        <f>INDEX('Tariff (hidden)'!$B$4:$B$133,MATCH(B106,'Tariff (hidden)'!$A$4:$A$133,0))</f>
        <v>#N/A</v>
      </c>
    </row>
    <row r="107" spans="1:41" x14ac:dyDescent="0.25">
      <c r="A107" s="120"/>
      <c r="B107" s="111"/>
      <c r="C107" s="112"/>
      <c r="D107" s="118"/>
      <c r="E107" s="545"/>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15"/>
      <c r="AI107" s="116" t="e">
        <f>IF(INDEX(TARIFF_TABLE[#All], MATCH($B107,TARIFF_TABLE[[#All],[Activity]],0),MATCH("ActivityType",TARIFF_TABLE[#Headers]))="Investigation",INDEX(TARIFF_TABLE[#All], MATCH($B107,TARIFF_TABLE[[#All],[Activity]],0),MATCH("Cost",TARIFF_TABLE[#Headers],0)),INDEX(Staff_Costs[#All],MATCH('Per-Participant Activities Arm6'!D107,Staff_Costs[[#All],[Role]],0),MATCH("Per-minute cost",Staff_Costs[#Headers],0))*'Per-Participant Activities Arm6'!C107)</f>
        <v>#N/A</v>
      </c>
      <c r="AJ107" s="117" t="e">
        <f t="shared" si="4"/>
        <v>#N/A</v>
      </c>
      <c r="AK107" s="117" t="e">
        <f t="shared" si="4"/>
        <v>#N/A</v>
      </c>
      <c r="AL107" s="117" t="e">
        <f t="shared" si="4"/>
        <v>#N/A</v>
      </c>
      <c r="AM107" s="117" t="e">
        <f t="shared" si="4"/>
        <v>#N/A</v>
      </c>
      <c r="AN107" s="117" t="e">
        <f t="shared" si="4"/>
        <v>#N/A</v>
      </c>
      <c r="AO107" s="479" t="e">
        <f>INDEX('Tariff (hidden)'!$B$4:$B$133,MATCH(B107,'Tariff (hidden)'!$A$4:$A$133,0))</f>
        <v>#N/A</v>
      </c>
    </row>
    <row r="108" spans="1:41" x14ac:dyDescent="0.25">
      <c r="A108" s="120"/>
      <c r="B108" s="111"/>
      <c r="C108" s="112"/>
      <c r="D108" s="118"/>
      <c r="E108" s="545"/>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15"/>
      <c r="AI108" s="116" t="e">
        <f>IF(INDEX(TARIFF_TABLE[#All], MATCH($B108,TARIFF_TABLE[[#All],[Activity]],0),MATCH("ActivityType",TARIFF_TABLE[#Headers]))="Investigation",INDEX(TARIFF_TABLE[#All], MATCH($B108,TARIFF_TABLE[[#All],[Activity]],0),MATCH("Cost",TARIFF_TABLE[#Headers],0)),INDEX(Staff_Costs[#All],MATCH('Per-Participant Activities Arm6'!D108,Staff_Costs[[#All],[Role]],0),MATCH("Per-minute cost",Staff_Costs[#Headers],0))*'Per-Participant Activities Arm6'!C108)</f>
        <v>#N/A</v>
      </c>
      <c r="AJ108" s="117" t="e">
        <f t="shared" si="4"/>
        <v>#N/A</v>
      </c>
      <c r="AK108" s="117" t="e">
        <f t="shared" si="4"/>
        <v>#N/A</v>
      </c>
      <c r="AL108" s="117" t="e">
        <f t="shared" si="4"/>
        <v>#N/A</v>
      </c>
      <c r="AM108" s="117" t="e">
        <f t="shared" si="4"/>
        <v>#N/A</v>
      </c>
      <c r="AN108" s="117" t="e">
        <f t="shared" si="4"/>
        <v>#N/A</v>
      </c>
      <c r="AO108" s="479" t="e">
        <f>INDEX('Tariff (hidden)'!$B$4:$B$133,MATCH(B108,'Tariff (hidden)'!$A$4:$A$133,0))</f>
        <v>#N/A</v>
      </c>
    </row>
    <row r="109" spans="1:41" x14ac:dyDescent="0.25">
      <c r="A109" s="120"/>
      <c r="B109" s="111"/>
      <c r="C109" s="112"/>
      <c r="D109" s="118"/>
      <c r="E109" s="545"/>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15"/>
      <c r="AI109" s="116" t="e">
        <f>IF(INDEX(TARIFF_TABLE[#All], MATCH($B109,TARIFF_TABLE[[#All],[Activity]],0),MATCH("ActivityType",TARIFF_TABLE[#Headers]))="Investigation",INDEX(TARIFF_TABLE[#All], MATCH($B109,TARIFF_TABLE[[#All],[Activity]],0),MATCH("Cost",TARIFF_TABLE[#Headers],0)),INDEX(Staff_Costs[#All],MATCH('Per-Participant Activities Arm6'!D109,Staff_Costs[[#All],[Role]],0),MATCH("Per-minute cost",Staff_Costs[#Headers],0))*'Per-Participant Activities Arm6'!C109)</f>
        <v>#N/A</v>
      </c>
      <c r="AJ109" s="117" t="e">
        <f t="shared" si="4"/>
        <v>#N/A</v>
      </c>
      <c r="AK109" s="117" t="e">
        <f t="shared" si="4"/>
        <v>#N/A</v>
      </c>
      <c r="AL109" s="117" t="e">
        <f t="shared" si="4"/>
        <v>#N/A</v>
      </c>
      <c r="AM109" s="117" t="e">
        <f t="shared" si="4"/>
        <v>#N/A</v>
      </c>
      <c r="AN109" s="117" t="e">
        <f t="shared" si="4"/>
        <v>#N/A</v>
      </c>
      <c r="AO109" s="479" t="e">
        <f>INDEX('Tariff (hidden)'!$B$4:$B$133,MATCH(B109,'Tariff (hidden)'!$A$4:$A$133,0))</f>
        <v>#N/A</v>
      </c>
    </row>
    <row r="110" spans="1:41" x14ac:dyDescent="0.25">
      <c r="A110" s="120"/>
      <c r="B110" s="111"/>
      <c r="C110" s="112"/>
      <c r="D110" s="118"/>
      <c r="E110" s="545"/>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15"/>
      <c r="AI110" s="116" t="e">
        <f>IF(INDEX(TARIFF_TABLE[#All], MATCH($B110,TARIFF_TABLE[[#All],[Activity]],0),MATCH("ActivityType",TARIFF_TABLE[#Headers]))="Investigation",INDEX(TARIFF_TABLE[#All], MATCH($B110,TARIFF_TABLE[[#All],[Activity]],0),MATCH("Cost",TARIFF_TABLE[#Headers],0)),INDEX(Staff_Costs[#All],MATCH('Per-Participant Activities Arm6'!D110,Staff_Costs[[#All],[Role]],0),MATCH("Per-minute cost",Staff_Costs[#Headers],0))*'Per-Participant Activities Arm6'!C110)</f>
        <v>#N/A</v>
      </c>
      <c r="AJ110" s="117" t="e">
        <f t="shared" si="4"/>
        <v>#N/A</v>
      </c>
      <c r="AK110" s="117" t="e">
        <f t="shared" si="4"/>
        <v>#N/A</v>
      </c>
      <c r="AL110" s="117" t="e">
        <f t="shared" si="4"/>
        <v>#N/A</v>
      </c>
      <c r="AM110" s="117" t="e">
        <f t="shared" si="4"/>
        <v>#N/A</v>
      </c>
      <c r="AN110" s="117" t="e">
        <f t="shared" si="4"/>
        <v>#N/A</v>
      </c>
      <c r="AO110" s="479" t="e">
        <f>INDEX('Tariff (hidden)'!$B$4:$B$133,MATCH(B110,'Tariff (hidden)'!$A$4:$A$133,0))</f>
        <v>#N/A</v>
      </c>
    </row>
  </sheetData>
  <sheetProtection algorithmName="SHA-512" hashValue="QD3odgIeIgFkBGa3F8I4FoSvnRR0nOqNoYPQY+7t6hkyEKjHwY0KWOtGnzPqLGC1fELFwiwoxiHNFpk9BDcXqQ==" saltValue="bEYKeGwtHsG2+28Nfef1E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04" priority="3">
      <formula>IF($AO10="investigation",TRUE,FALSE)</formula>
    </cfRule>
  </conditionalFormatting>
  <conditionalFormatting sqref="C11">
    <cfRule type="expression" dxfId="503" priority="2">
      <formula>IF($AO11="investigation",TRUE,FALSE)</formula>
    </cfRule>
  </conditionalFormatting>
  <conditionalFormatting sqref="C65:C110">
    <cfRule type="expression" dxfId="502" priority="1">
      <formula>IF($AO65="investigation",TRUE,FALSE)</formula>
    </cfRule>
  </conditionalFormatting>
  <dataValidations xWindow="495" yWindow="552" count="6">
    <dataValidation type="list" allowBlank="1" showInputMessage="1" showErrorMessage="1" error="Please selection option from drop down menu" prompt="Select role that best fits.  If necessary, also provide additional detail in column E "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220</vt:i4>
      </vt:variant>
    </vt:vector>
  </HeadingPairs>
  <TitlesOfParts>
    <vt:vector size="246" baseType="lpstr">
      <vt:lpstr>Study Information</vt:lpstr>
      <vt:lpstr>Standard of Care</vt:lpstr>
      <vt:lpstr>General Activities</vt:lpstr>
      <vt:lpstr>Per-Participant Activities Arm1</vt:lpstr>
      <vt:lpstr>Per-Participant Activities Arm2</vt:lpstr>
      <vt:lpstr>Per-Participant Activities Arm3</vt:lpstr>
      <vt:lpstr>Per-Participant Activities Arm4</vt:lpstr>
      <vt:lpstr>Per-Participant Activities Arm5</vt:lpstr>
      <vt:lpstr>Per-Participant Activities Arm6</vt:lpstr>
      <vt:lpstr>Per-Participant Activities Arm7</vt:lpstr>
      <vt:lpstr>Per-Participant Activities Arm8</vt:lpstr>
      <vt:lpstr>Per-Participant Activities Arm9</vt:lpstr>
      <vt:lpstr>Per-Participant ActivitiesArm10</vt:lpstr>
      <vt:lpstr>Per-Participant ActivitiesArm11</vt:lpstr>
      <vt:lpstr>Per-Participant ActivitiesArm12</vt:lpstr>
      <vt:lpstr>Per-Participant ActivitiesArm13</vt:lpstr>
      <vt:lpstr>Per-Participant ActivitiesArm14</vt:lpstr>
      <vt:lpstr>Per-Participant ActivitiesArm15</vt:lpstr>
      <vt:lpstr>Summary</vt:lpstr>
      <vt:lpstr>List of Activities</vt:lpstr>
      <vt:lpstr>Non-Tariff Costs</vt:lpstr>
      <vt:lpstr>Tariff (hidden)</vt:lpstr>
      <vt:lpstr>Menu Data (hidden)</vt:lpstr>
      <vt:lpstr>Staff Cost Table (hidden)</vt:lpstr>
      <vt:lpstr>NHS E Payment Template (hidden)</vt:lpstr>
      <vt:lpstr>Change History</vt:lpstr>
      <vt:lpstr>ACTIVITIES_E_AF</vt:lpstr>
      <vt:lpstr>'Per-Participant Activities Arm6'!ACTIVITY_LOOKUP</vt:lpstr>
      <vt:lpstr>'Per-Participant Activities Arm7'!ACTIVITY_LOOKUP</vt:lpstr>
      <vt:lpstr>'Per-Participant Activities Arm8'!ACTIVITY_LOOKUP</vt:lpstr>
      <vt:lpstr>'Per-Participant Activities Arm9'!ACTIVITY_LOOKUP</vt:lpstr>
      <vt:lpstr>'Per-Participant ActivitiesArm10'!ACTIVITY_LOOKUP</vt:lpstr>
      <vt:lpstr>'Per-Participant ActivitiesArm11'!ACTIVITY_LOOKUP</vt:lpstr>
      <vt:lpstr>'Per-Participant ActivitiesArm12'!ACTIVITY_LOOKUP</vt:lpstr>
      <vt:lpstr>'Per-Participant ActivitiesArm13'!ACTIVITY_LOOKUP</vt:lpstr>
      <vt:lpstr>'Per-Participant ActivitiesArm14'!ACTIVITY_LOOKUP</vt:lpstr>
      <vt:lpstr>'Per-Participant ActivitiesArm15'!ACTIVITY_LOOKUP</vt:lpstr>
      <vt:lpstr>ACTIVITY_LOOKUP</vt:lpstr>
      <vt:lpstr>Additional_Inv_Proc_Tariff_List</vt:lpstr>
      <vt:lpstr>Area_of_Activity_for_each_participant</vt:lpstr>
      <vt:lpstr>Area_of_Activity_study_in_general</vt:lpstr>
      <vt:lpstr>Arm_1_Calculated_Activity_Cost</vt:lpstr>
      <vt:lpstr>Arm_1_Number_of_Participants</vt:lpstr>
      <vt:lpstr>Arm_1_Participant_specific_activities</vt:lpstr>
      <vt:lpstr>Arm_1_Research_Cost</vt:lpstr>
      <vt:lpstr>Arm_1_Research_Cost_Part_A</vt:lpstr>
      <vt:lpstr>Arm_1_Research_Cost_Part_B</vt:lpstr>
      <vt:lpstr>Arm_1_Service_Support_Cost</vt:lpstr>
      <vt:lpstr>Arm_1_Treatment_Cost</vt:lpstr>
      <vt:lpstr>Arm_10_calculated_activity_cost</vt:lpstr>
      <vt:lpstr>Arm_10_number_of_participants</vt:lpstr>
      <vt:lpstr>Arm_10_Participant_Specific_Activities</vt:lpstr>
      <vt:lpstr>Arm_10_Research_Cost</vt:lpstr>
      <vt:lpstr>Arm_10_Research_Cost_Part_A</vt:lpstr>
      <vt:lpstr>Arm_10_Research_Cost_Part_B</vt:lpstr>
      <vt:lpstr>Arm_10_Service_Support_Cost</vt:lpstr>
      <vt:lpstr>Arm_10_Treatment_Cost</vt:lpstr>
      <vt:lpstr>Arm_11_calculated_activity_cost</vt:lpstr>
      <vt:lpstr>Arm_11_number_of_participants</vt:lpstr>
      <vt:lpstr>Arm_11_Participant_Specific_Activities</vt:lpstr>
      <vt:lpstr>Arm_11_Research_Cost</vt:lpstr>
      <vt:lpstr>Arm_11_Research_Cost_Part_A</vt:lpstr>
      <vt:lpstr>Arm_11_Research_Cost_Part_B</vt:lpstr>
      <vt:lpstr>Arm_11_Service_Support_Cost</vt:lpstr>
      <vt:lpstr>Arm_11_Treatment_Cost</vt:lpstr>
      <vt:lpstr>Arm_12_calculated_activity_cost</vt:lpstr>
      <vt:lpstr>Arm_12_number_of_participants</vt:lpstr>
      <vt:lpstr>Arm_12_Participant_Specific_Activities</vt:lpstr>
      <vt:lpstr>Arm_12_Research_Cost</vt:lpstr>
      <vt:lpstr>Arm_12_Research_Cost_Part_A</vt:lpstr>
      <vt:lpstr>Arm_12_Research_Cost_Part_B</vt:lpstr>
      <vt:lpstr>Arm_12_Service_Support_Cost</vt:lpstr>
      <vt:lpstr>Arm_12_Treatment_Cost</vt:lpstr>
      <vt:lpstr>Arm_13_calculated_activity_cost</vt:lpstr>
      <vt:lpstr>Arm_13_number_of_participants</vt:lpstr>
      <vt:lpstr>Arm_13_Participant_Specific_Activities</vt:lpstr>
      <vt:lpstr>Arm_13_Research_Cost</vt:lpstr>
      <vt:lpstr>Arm_13_Research_Cost_Part_A</vt:lpstr>
      <vt:lpstr>Arm_13_Research_Cost_Part_B</vt:lpstr>
      <vt:lpstr>Arm_13_Service_Support_Cost</vt:lpstr>
      <vt:lpstr>Arm_13_Treatment_Cost</vt:lpstr>
      <vt:lpstr>Arm_14_calculated_activity_cost</vt:lpstr>
      <vt:lpstr>Arm_14_number_of_participants</vt:lpstr>
      <vt:lpstr>Arm_14_Participant_Specific_Activities</vt:lpstr>
      <vt:lpstr>Arm_14_Research_Cost</vt:lpstr>
      <vt:lpstr>Arm_14_Research_Cost_Part_A</vt:lpstr>
      <vt:lpstr>Arm_14_Research_Cost_Part_B</vt:lpstr>
      <vt:lpstr>Arm_14_Service_Support_Cost</vt:lpstr>
      <vt:lpstr>Arm_14_Treatment_Cost</vt:lpstr>
      <vt:lpstr>Arm_15_calculated_activity_cost</vt:lpstr>
      <vt:lpstr>Arm_15_number_of_participants</vt:lpstr>
      <vt:lpstr>Arm_15_Participant_Specific_Activities</vt:lpstr>
      <vt:lpstr>Arm_15_Research_Cost</vt:lpstr>
      <vt:lpstr>Arm_15_Research_Cost_Part_A</vt:lpstr>
      <vt:lpstr>Arm_15_Research_Cost_Part_B</vt:lpstr>
      <vt:lpstr>Arm_15_Service_Support_Cost</vt:lpstr>
      <vt:lpstr>Arm_15_Treatment_Cost</vt:lpstr>
      <vt:lpstr>Arm_2_Calculated_Activity_Cost</vt:lpstr>
      <vt:lpstr>Arm_2_Number_of_Participants</vt:lpstr>
      <vt:lpstr>Arm_2_Participant_specific_activities</vt:lpstr>
      <vt:lpstr>Arm_2_Research_Cost</vt:lpstr>
      <vt:lpstr>Arm_2_Research_Cost_Part_A</vt:lpstr>
      <vt:lpstr>Arm_2_Research_Cost_Part_B</vt:lpstr>
      <vt:lpstr>Arm_2_Service_Support_Cost</vt:lpstr>
      <vt:lpstr>Arm_2_Treatment_Cost</vt:lpstr>
      <vt:lpstr>Arm_3_Calculated_Activity_Cost</vt:lpstr>
      <vt:lpstr>Arm_3_Number_of_Participants</vt:lpstr>
      <vt:lpstr>Arm_3_Participant_specific_activities</vt:lpstr>
      <vt:lpstr>Arm_3_Research_Cost</vt:lpstr>
      <vt:lpstr>Arm_3_Research_Cost_Part_A</vt:lpstr>
      <vt:lpstr>Arm_3_Research_Cost_Part_B</vt:lpstr>
      <vt:lpstr>Arm_3_Service_Support_Cost</vt:lpstr>
      <vt:lpstr>Arm_3_Treatment_Cost</vt:lpstr>
      <vt:lpstr>Arm_4_Calculated_Activity_Cost</vt:lpstr>
      <vt:lpstr>Arm_4_Number_of_Participants</vt:lpstr>
      <vt:lpstr>Arm_4_Participant_specific_activities</vt:lpstr>
      <vt:lpstr>Arm_4_Research_Cost</vt:lpstr>
      <vt:lpstr>Arm_4_Research_Cost_Part_A</vt:lpstr>
      <vt:lpstr>Arm_4_Research_Cost_Part_B</vt:lpstr>
      <vt:lpstr>Arm_4_Service_Support_Cost</vt:lpstr>
      <vt:lpstr>Arm_4_Treatment_Cost</vt:lpstr>
      <vt:lpstr>Arm_5_Calculated_Activity_Cost</vt:lpstr>
      <vt:lpstr>Arm_5_Number_of_Participants</vt:lpstr>
      <vt:lpstr>Arm_5_Participant_specific_activities</vt:lpstr>
      <vt:lpstr>Arm_5_Research_Cost</vt:lpstr>
      <vt:lpstr>Arm_5_Research_Cost_Part_A</vt:lpstr>
      <vt:lpstr>Arm_5_Research_Cost_Part_B</vt:lpstr>
      <vt:lpstr>Arm_5_Service_Support_Cost</vt:lpstr>
      <vt:lpstr>Arm_5_Treatment_Cost</vt:lpstr>
      <vt:lpstr>Arm_6_calculated_activity_cost</vt:lpstr>
      <vt:lpstr>Arm_6_number_of_participants</vt:lpstr>
      <vt:lpstr>Arm_6_Participant_Specific_Activities</vt:lpstr>
      <vt:lpstr>Arm_6_Research_Cost</vt:lpstr>
      <vt:lpstr>Arm_6_Research_Cost_Part_A</vt:lpstr>
      <vt:lpstr>Arm_6_Research_Cost_Part_B</vt:lpstr>
      <vt:lpstr>Arm_6_Service_Support_Cost</vt:lpstr>
      <vt:lpstr>Arm_6_Treatment_Cost</vt:lpstr>
      <vt:lpstr>Arm_7_calculated_activity_cost</vt:lpstr>
      <vt:lpstr>Arm_7_number_of_participants</vt:lpstr>
      <vt:lpstr>Arm_7_Participant_Specific_Activities</vt:lpstr>
      <vt:lpstr>Arm_7_Research_Cost</vt:lpstr>
      <vt:lpstr>Arm_7_Research_Cost_Part_A</vt:lpstr>
      <vt:lpstr>Arm_7_Research_Cost_Part_B</vt:lpstr>
      <vt:lpstr>Arm_7_Service_Support_Cost</vt:lpstr>
      <vt:lpstr>Arm_7_Treatment_Cost</vt:lpstr>
      <vt:lpstr>Arm_8_calculated_activity_cost</vt:lpstr>
      <vt:lpstr>Arm_8_number_of_participants</vt:lpstr>
      <vt:lpstr>Arm_8_Participant_Specific_Activities</vt:lpstr>
      <vt:lpstr>Arm_8_Research_Cost</vt:lpstr>
      <vt:lpstr>Arm_8_Research_Cost_Part_A</vt:lpstr>
      <vt:lpstr>Arm_8_Research_Cost_Part_B</vt:lpstr>
      <vt:lpstr>Arm_8_Service_Support_Cost</vt:lpstr>
      <vt:lpstr>Arm_8_Treatment_Cost</vt:lpstr>
      <vt:lpstr>Arm_9_calculated_activity_cost</vt:lpstr>
      <vt:lpstr>Arm_9_number_of_participants</vt:lpstr>
      <vt:lpstr>Arm_9_Participant_Specific_Activities</vt:lpstr>
      <vt:lpstr>Arm_9_Research_Cost</vt:lpstr>
      <vt:lpstr>Arm_9_Research_Cost_Part_A</vt:lpstr>
      <vt:lpstr>Arm_9_Research_Cost_Part_B</vt:lpstr>
      <vt:lpstr>Arm_9_Service_Support_Cost</vt:lpstr>
      <vt:lpstr>Arm_9_Treatment_Cost</vt:lpstr>
      <vt:lpstr>Average_per_patientETC</vt:lpstr>
      <vt:lpstr>Chief_Investigator_Name</vt:lpstr>
      <vt:lpstr>Duration</vt:lpstr>
      <vt:lpstr>Funder_Name</vt:lpstr>
      <vt:lpstr>Gen_Act_Calculated_Activity_Cost</vt:lpstr>
      <vt:lpstr>Gen_Act_Research_Cost</vt:lpstr>
      <vt:lpstr>Gen_Act_Research_Cost_Part_A</vt:lpstr>
      <vt:lpstr>Gen_Act_Research_Cost_Part_B</vt:lpstr>
      <vt:lpstr>Gen_Act_Service_Support_Cost</vt:lpstr>
      <vt:lpstr>Gen_Act_Specific_Activity</vt:lpstr>
      <vt:lpstr>Gen_Act_Treatment_Cost</vt:lpstr>
      <vt:lpstr>General_Activities_per_participant_cost</vt:lpstr>
      <vt:lpstr>General_Activities_Total__across_projected_number_of_sites</vt:lpstr>
      <vt:lpstr>Inc_Std_Care</vt:lpstr>
      <vt:lpstr>Interventions_clinical</vt:lpstr>
      <vt:lpstr>Interventions_non_clinical</vt:lpstr>
      <vt:lpstr>IRAS_REF</vt:lpstr>
      <vt:lpstr>Laboratory_Tests_and_Investigations</vt:lpstr>
      <vt:lpstr>LCRN</vt:lpstr>
      <vt:lpstr>Lead_Local_Clinical_Research_Network</vt:lpstr>
      <vt:lpstr>Main_Commissioner</vt:lpstr>
      <vt:lpstr>Medical_Exposure_or_Imaging_Tests_and_Investigations</vt:lpstr>
      <vt:lpstr>Menu_Data_General_Areas_of_Activity</vt:lpstr>
      <vt:lpstr>Menu_Data_General_Consent_Procedures</vt:lpstr>
      <vt:lpstr>Menu_Data_No_Part_B_Research_Costs_not_applicable</vt:lpstr>
      <vt:lpstr>Menu_Data_Participant_Identification</vt:lpstr>
      <vt:lpstr>NHS_Excess_Treatment_Cost___Cost_saving</vt:lpstr>
      <vt:lpstr>No</vt:lpstr>
      <vt:lpstr>No_Part_B_Research_Costs_not_applicable</vt:lpstr>
      <vt:lpstr>Non_Tariff_Cost</vt:lpstr>
      <vt:lpstr>Number_of_Study_Arms</vt:lpstr>
      <vt:lpstr>Other_Procedures_or_Activities</vt:lpstr>
      <vt:lpstr>Other_Tests_and_Investigations</vt:lpstr>
      <vt:lpstr>Part_B_Question</vt:lpstr>
      <vt:lpstr>Participant_Consent_Procedures</vt:lpstr>
      <vt:lpstr>Participant_Identification</vt:lpstr>
      <vt:lpstr>Per_Patient_Cost_mean</vt:lpstr>
      <vt:lpstr>Pharmacy</vt:lpstr>
      <vt:lpstr>Pharmacy_General</vt:lpstr>
      <vt:lpstr>Planned_End_Date</vt:lpstr>
      <vt:lpstr>Planned_Start_Date</vt:lpstr>
      <vt:lpstr>'Change History'!Print_Area</vt:lpstr>
      <vt:lpstr>'General Activities'!Print_Area</vt:lpstr>
      <vt:lpstr>'List of Activities'!Print_Area</vt:lpstr>
      <vt:lpstr>'NHS E Payment Template (hidden)'!Print_Area</vt:lpstr>
      <vt:lpstr>'Per-Participant Activities Arm1'!Print_Area</vt:lpstr>
      <vt:lpstr>'Per-Participant Activities Arm2'!Print_Area</vt:lpstr>
      <vt:lpstr>'Per-Participant Activities Arm3'!Print_Area</vt:lpstr>
      <vt:lpstr>'Per-Participant Activities Arm4'!Print_Area</vt:lpstr>
      <vt:lpstr>'Per-Participant Activities Arm5'!Print_Area</vt:lpstr>
      <vt:lpstr>'Standard of Care'!Print_Area</vt:lpstr>
      <vt:lpstr>'Study Information'!Print_Area</vt:lpstr>
      <vt:lpstr>Summary!Print_Area</vt:lpstr>
      <vt:lpstr>'General Activities'!Print_Titles</vt:lpstr>
      <vt:lpstr>'List of Activities'!Print_Titles</vt:lpstr>
      <vt:lpstr>'Per-Participant Activities Arm1'!Print_Titles</vt:lpstr>
      <vt:lpstr>'Per-Participant Activities Arm2'!Print_Titles</vt:lpstr>
      <vt:lpstr>'Per-Participant Activities Arm3'!Print_Titles</vt:lpstr>
      <vt:lpstr>'Per-Participant Activities Arm4'!Print_Titles</vt:lpstr>
      <vt:lpstr>'Per-Participant Activities Arm5'!Print_Titles</vt:lpstr>
      <vt:lpstr>'Standard of Care'!Print_Titles</vt:lpstr>
      <vt:lpstr>Projected_Number_of_sites</vt:lpstr>
      <vt:lpstr>Question_12</vt:lpstr>
      <vt:lpstr>SHORT_TITLE</vt:lpstr>
      <vt:lpstr>Site_Type</vt:lpstr>
      <vt:lpstr>'Standard of Care'!SOC_Activity_Look_Up</vt:lpstr>
      <vt:lpstr>SOC_Calculated_Activity_Cost</vt:lpstr>
      <vt:lpstr>'Standard of Care'!SOC_Specific_Activities</vt:lpstr>
      <vt:lpstr>SOC_Total_cost_per_Activity</vt:lpstr>
      <vt:lpstr>Standard_of_care_cost</vt:lpstr>
      <vt:lpstr>Study_Close_Down</vt:lpstr>
      <vt:lpstr>Study_Info_Duration_month</vt:lpstr>
      <vt:lpstr>Study_Monitoring</vt:lpstr>
      <vt:lpstr>Study_Set_Up</vt:lpstr>
      <vt:lpstr>Study_tab_SoECAT_completion</vt:lpstr>
      <vt:lpstr>Sum_Difference</vt:lpstr>
      <vt:lpstr>Sum_total_all_participants</vt:lpstr>
      <vt:lpstr>Tariff_Activity</vt:lpstr>
      <vt:lpstr>Tariff_Activity_Type</vt:lpstr>
      <vt:lpstr>TARIFF_LOOKUP_TABLE</vt:lpstr>
      <vt:lpstr>total_cost_per_activity</vt:lpstr>
      <vt:lpstr>Total_Number_of_Participants_all_arm</vt:lpstr>
      <vt:lpstr>UNDERTAKEN_BY</vt:lpstr>
      <vt:lpstr>Yes</vt:lpstr>
      <vt:lpstr>Yes_Part_B_Research_Costs_applicable</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Wigand</dc:creator>
  <cp:lastModifiedBy>Julie Allen</cp:lastModifiedBy>
  <cp:lastPrinted>2018-11-15T16:51:00Z</cp:lastPrinted>
  <dcterms:created xsi:type="dcterms:W3CDTF">2015-03-11T11:36:18Z</dcterms:created>
  <dcterms:modified xsi:type="dcterms:W3CDTF">2020-05-18T18:56:52Z</dcterms:modified>
</cp:coreProperties>
</file>